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55" windowWidth="20115" windowHeight="6615" tabRatio="757" activeTab="3"/>
  </bookViews>
  <sheets>
    <sheet name="NÃO DESONERADA" sheetId="1" r:id="rId1"/>
    <sheet name="DESONERADA" sheetId="2" r:id="rId2"/>
    <sheet name="DESONERADA RESUMIDA" sheetId="3" r:id="rId3"/>
    <sheet name="Cronograma " sheetId="4" r:id="rId4"/>
  </sheets>
  <externalReferences>
    <externalReference r:id="rId7"/>
  </externalReferences>
  <definedNames>
    <definedName name="EXTRACT" localSheetId="3">'Cronograma '!#REF!</definedName>
    <definedName name="_xlnm.Print_Area" localSheetId="3">'Cronograma '!$A$1:$G$24</definedName>
    <definedName name="_xlnm.Print_Area" localSheetId="1">'DESONERADA'!$A$1:$I$168</definedName>
    <definedName name="_xlnm.Print_Area" localSheetId="2">'DESONERADA RESUMIDA'!$A$1:$I$51</definedName>
    <definedName name="_xlnm.Print_Area" localSheetId="0">'NÃO DESONERADA'!$A$1:$I$168</definedName>
    <definedName name="BDI" localSheetId="3">#REF!</definedName>
    <definedName name="BDI" localSheetId="1">#REF!</definedName>
    <definedName name="BDI" localSheetId="2">#REF!</definedName>
    <definedName name="BDI" localSheetId="0">#REF!</definedName>
    <definedName name="BDI">#REF!</definedName>
    <definedName name="CRITERIA" localSheetId="3">'Cronograma '!#REF!</definedName>
    <definedName name="_xlnm.Print_Titles" localSheetId="3">'Cronograma '!$10:$12</definedName>
    <definedName name="_xlnm.Print_Titles" localSheetId="1">'DESONERADA'!$9:$11</definedName>
    <definedName name="_xlnm.Print_Titles" localSheetId="2">'DESONERADA RESUMIDA'!$9:$11</definedName>
    <definedName name="_xlnm.Print_Titles" localSheetId="0">'NÃO DESONERADA'!$9:$11</definedName>
  </definedNames>
  <calcPr fullCalcOnLoad="1"/>
</workbook>
</file>

<file path=xl/sharedStrings.xml><?xml version="1.0" encoding="utf-8"?>
<sst xmlns="http://schemas.openxmlformats.org/spreadsheetml/2006/main" count="1093" uniqueCount="341">
  <si>
    <t>M2</t>
  </si>
  <si>
    <t>M3</t>
  </si>
  <si>
    <t>00368</t>
  </si>
  <si>
    <t>M</t>
  </si>
  <si>
    <t>00453</t>
  </si>
  <si>
    <t>KG</t>
  </si>
  <si>
    <t>H</t>
  </si>
  <si>
    <t>TOTAL</t>
  </si>
  <si>
    <t>1.1</t>
  </si>
  <si>
    <t>1.2</t>
  </si>
  <si>
    <t>1.3</t>
  </si>
  <si>
    <t>1.4</t>
  </si>
  <si>
    <t>UN</t>
  </si>
  <si>
    <t>4.1</t>
  </si>
  <si>
    <t>1.0</t>
  </si>
  <si>
    <t>SERVIÇOS PRELIMINARES</t>
  </si>
  <si>
    <t>2.0</t>
  </si>
  <si>
    <t>3.0</t>
  </si>
  <si>
    <t>4.0</t>
  </si>
  <si>
    <t>5.0</t>
  </si>
  <si>
    <t>6.0</t>
  </si>
  <si>
    <t>PINTURA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</si>
  <si>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</si>
  <si>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</si>
  <si>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</si>
  <si>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 xml:space="preserve">MEMÓRIA DE CÁLCULO </t>
  </si>
  <si>
    <t>ITEM</t>
  </si>
  <si>
    <t>DISCRIMINAÇÃO</t>
  </si>
  <si>
    <t>QUANT.</t>
  </si>
  <si>
    <t>PREÇOS (R$)</t>
  </si>
  <si>
    <t xml:space="preserve">CRONOGRAMA  FÍSICO-FINANCEIRO </t>
  </si>
  <si>
    <t>DESCRIÇÃO</t>
  </si>
  <si>
    <t>PERÍODO</t>
  </si>
  <si>
    <t>30 DIAS</t>
  </si>
  <si>
    <t>60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</si>
  <si>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</si>
  <si>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</si>
  <si>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</si>
  <si>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</si>
  <si>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</si>
  <si>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</si>
  <si>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</si>
  <si>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</si>
  <si>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GL</t>
  </si>
  <si>
    <t>x</t>
  </si>
  <si>
    <t>TOTAL 3.0</t>
  </si>
  <si>
    <t>TOTAL 1.0</t>
  </si>
  <si>
    <t>TOTAL 4.0</t>
  </si>
  <si>
    <t>TOTAL 7.0</t>
  </si>
  <si>
    <t>TOTAL GERAL=</t>
  </si>
  <si>
    <t>APROVAÇÃO: Eng. Eros dos Santos</t>
  </si>
  <si>
    <t>CÓDIGO</t>
  </si>
  <si>
    <t>PREGO COM OU SEM CABECA, EM CAIXAS DE 50KG, OU QUANTIDADES EQUIVALENTES, N§12X12A 18X30</t>
  </si>
  <si>
    <t>20132</t>
  </si>
  <si>
    <t>MAO-DE-OBRA DE SERVENTE DA CONSTRUCAO CIVIL, INCLUSIVE ENCARGOS SOCIAIS DESONERADOS</t>
  </si>
  <si>
    <t>20118</t>
  </si>
  <si>
    <t>MAO-DE-OBRA DE PINTOR, INCLUSIVE ENCARGOS SOCIAIS DESONERADOS</t>
  </si>
  <si>
    <t>20045</t>
  </si>
  <si>
    <t>MAO-DE-OBRA DE CARPINTEIRO DE ESQUADRIASDE MADEIRA, INCLUSIVE ENCARGOS SOCIAISDESONERADOS</t>
  </si>
  <si>
    <t>20115</t>
  </si>
  <si>
    <t>MAO-DE-OBRA DE PEDREIRO, INCLUSIVE ENCARGOS SOCIAIS DESONERADOS</t>
  </si>
  <si>
    <t>MAO-DE-OBRA DE CARPINTEIRO DE FORMA DE CONCRETO, INCLUSIVE ENCARGOS SOCIAIS DESONERADOS</t>
  </si>
  <si>
    <r>
      <t>Secretaria Municipal de Planejamento Urbano</t>
    </r>
    <r>
      <rPr>
        <sz val="20"/>
        <rFont val="Arial"/>
        <family val="2"/>
      </rPr>
      <t xml:space="preserve"> </t>
    </r>
  </si>
  <si>
    <t>02.020.0002-A</t>
  </si>
  <si>
    <t>PLACA DE IDENTIFICACAO DE OBRA PUBLICA,TIPO BANNER/PLOTTER,CONSTITUIDA POR LONA E IMPRESSAO DIGITAL,INCLUSIVE SUPORTES D E MADEIRA.FORNECIMENTO E COLOCACAO (OBS.:3% - DESGASTE DE FERRAMENTAS E EPI).</t>
  </si>
  <si>
    <t>10806</t>
  </si>
  <si>
    <t>PLACA DE IDENTIFICACAO DE OBRA PUBLICA,TIPO BANNER/PLOTER, CONSTITUIDA POR LONAE IMPRESSAO DIGITAL</t>
  </si>
  <si>
    <t>UNIT s/ BDI</t>
  </si>
  <si>
    <t>UNITc/ BDI</t>
  </si>
  <si>
    <t>TOTAL s/ BDI</t>
  </si>
  <si>
    <t>TOTAL c/ BDI</t>
  </si>
  <si>
    <t>SERVENTE COM ENCARGOS COMPLEMENTARES</t>
  </si>
  <si>
    <t>20046</t>
  </si>
  <si>
    <t>TOTAL 2.0</t>
  </si>
  <si>
    <t>PROJETO: Eng° Patrick Suckow</t>
  </si>
  <si>
    <t>LEVANTAMENTO: Eng° Patrick Suckow</t>
  </si>
  <si>
    <t>02.020.0002-0</t>
  </si>
  <si>
    <t>30163</t>
  </si>
  <si>
    <t>07.002.0025-B ARGAMASSA CIM.,AREIA TRACO 1:3,PREPAROMECANICO</t>
  </si>
  <si>
    <t>PEDREIRO COM ENCARGOS COMPLEMENTARES</t>
  </si>
  <si>
    <t>00560</t>
  </si>
  <si>
    <t>TIJOLO CERAMICO, FURADO, DE (10X20X30)CM</t>
  </si>
  <si>
    <t>00559</t>
  </si>
  <si>
    <t>TIJOLO CERAMICO, FURADO, DE (10X20X20)CM</t>
  </si>
  <si>
    <t>13.001.0026-A</t>
  </si>
  <si>
    <t>EMBOCO COM ARGAMASSA DE CIMENTO E AREIA,NO TRACO 1:3 COM 2CM DE ESPESSURA,INCLUSIVE CHAPISCO DE CIMENTO E AREIA,NO TRACO 0,04375 (OBS.:3%-DESGASTE DE FERRAMENTAS E EPI).</t>
  </si>
  <si>
    <t>30350</t>
  </si>
  <si>
    <t>13.001.0010-B CHAPISCO SUPERF. CONCR./ALVEN.,COM ARGAMASSA DE CIMENTO E AREIA NO TRACO 1:3</t>
  </si>
  <si>
    <t>00029</t>
  </si>
  <si>
    <t>ACO CA-25, ESTIRADO, PRECO DE REVENDEDOR, NO DIAMETRO DE 06,3MM</t>
  </si>
  <si>
    <t>14496</t>
  </si>
  <si>
    <t>LIXA PARA MASSA</t>
  </si>
  <si>
    <t>06028</t>
  </si>
  <si>
    <t>SELADOR PIGMENTADO A BASE DE RESINA ACRILICA MODIFICADA, NA COR BRANCA</t>
  </si>
  <si>
    <t>17.018.0110-A</t>
  </si>
  <si>
    <t>PINTURA COM TINTA LATEX SEMIBRILHANTE,FOSCA OU ACETINADA,CLASSIFICACAO PREMIUM OU STANDARD (NBR 15079),PARA INTERIOR E E XTERIOR,BRANCA OU COLORIDA,SOBRE TIJOLO,CONCRETO LISO,CIMENTO SEM AMIANTO,E REVESTIMENTO,INCLUSIVE LIXAMENTO,UMA DEMAO D E SELADOR ACRILICO E DUAS DEMAOS DE ACABAMENTO (OBS.:3%-DESGASTE DE FERRAMENTAS E EPI).</t>
  </si>
  <si>
    <t>03876</t>
  </si>
  <si>
    <t>TINTA LATEX STANDARD PARA EXTERIOR/INTERIOR SEMIBRILHANTE BRANCA OU COLORIDA, EMBALDES DE 18 LITROS</t>
  </si>
  <si>
    <t>ESTRUTURA DE CONCRETO ARMADO/ ALVENARIA E REVESTIMENTO</t>
  </si>
  <si>
    <t>2.2</t>
  </si>
  <si>
    <t>2.4</t>
  </si>
  <si>
    <t>PINUS, EM PECAS DE 7,50X7,50CM (3"X3")</t>
  </si>
  <si>
    <t>04.014.0095-A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</si>
  <si>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</si>
  <si>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10962</t>
  </si>
  <si>
    <t>ALUGUEL CACAMBA DE ACO TIPO CONTAINER C/5M3 CAPAC.P/RETIRADA ENTULHO OBRA,INCLUSIVE CARREGAM.,TRANSP.E DESCARREGAMENTO</t>
  </si>
  <si>
    <t>20039</t>
  </si>
  <si>
    <t>MAO-DE-OBRA DE BOMBEIRO HIDRAULICO DA CONSTRUCAO CIVIL, INCLUSIVE ENCARGOS SOCIAIS DESONERADOS</t>
  </si>
  <si>
    <t>L</t>
  </si>
  <si>
    <t>RETIRADA CUIDADOSA DE AZULEJOS OU LADRILHOS CERAMICOS E RESPECTIVA ARGAMASSA DE ASSENTAMENTO,SEM REAPROVEITAMENTO DO MAT ERIAL RETIRADO (OBS.:3%-DESGASTE DE FERRAMENTAS E EPI).</t>
  </si>
  <si>
    <t>DEMOLICAO MANUAL DE ALVENARIA DE TIJOLOS FURADOS,INCLUSIVE EMPILHAMENTO LATERAL DENTRO DO CANTEIRO DE SERVICO (OBS.:3%- DESGASTE DE FERRAMENTAS E EPI).</t>
  </si>
  <si>
    <t>00150</t>
  </si>
  <si>
    <t>CIMENTO BRANCO</t>
  </si>
  <si>
    <t>ALVENARIA DE TIJOLOS CERAMICOS FURADOS 10X20X30CM,COMPLEMENTADA COM 6% DE TIJOLOS DE 10X20X20CM,ASSENTES COM ARGAMASSA D E CIMENTO,CAL HIDRATADA ADITIVADA E AREIA,NO TRACO 1:1:8,EMPAREDES DE MEIA VEZ(0,10M),DE SUPERFICIE CORRIDA,ATE 3,00M D E ALTURA E MEDIDA PELA AREA REAL (OBS.:3%-DESGASTE DE FERRAMENTAS E EPI).</t>
  </si>
  <si>
    <t>ASSENTAMENTO DE AZULEJOS,PASTILHAS OU LADRILHOS,EM PAREDES,EXCLUSIVE ESTES,COM EMBOCO(PRONTO)EM MASSA UNICA DE CIMENTO E AREIA TERMOTRATADA,ARGAMASSA COLANTE E REJUNTAMENTO COM ARGAMASSA INDUSTRIALIZADA,INCLUSIVE CHAPISCO DE CIMENTO E AREIA, NO TRACO 1:3 (OBS.:3%-DESGASTE DE FERRAMENTAS E EPI).</t>
  </si>
  <si>
    <t>07798</t>
  </si>
  <si>
    <t>ARGAMASSA PARA REJUNTAMENTO PIGMENTADA,EMBALAGEM DE 5KG</t>
  </si>
  <si>
    <t>07797</t>
  </si>
  <si>
    <t>ARGAMASSA COLANTE, PARA USO EXTERNO, EMBALAGEM DE 20 KG</t>
  </si>
  <si>
    <t>06013</t>
  </si>
  <si>
    <t>MASSA UNICA COM ARGAMASSA DE CIMENTO E AREIA TERMOTRATADA, EM SACOS DE 50KG</t>
  </si>
  <si>
    <t>RUFO DE ALUMINIO DE 0,5X300MM.FORNECIMENTO E COLOCACAO (OBS.:3%-DESGASTE DE FERRAMENTAS E EPI 10%-PERDAS).</t>
  </si>
  <si>
    <t>07271</t>
  </si>
  <si>
    <t>BOBINA DE ALUMINIO, DE 0,5MMX0,30M</t>
  </si>
  <si>
    <t xml:space="preserve">COBERTURA </t>
  </si>
  <si>
    <t>MADEIRAMENTO PARA COBERTURA EM TELHAS ONDULADAS,CONSTITUIDO DE PECAS DE 3"X3" E 3"X4.1/2",EM MADEIRA SERRADA,SEM TESOURA OU PONTALETE,MEDIDO PELA AREA REAL DO MADEIRAMENTO.FORNECIMENTO E COLOCACAO (OBS.:3%-DESGASTE DE FERRAMENTAS E EPI).</t>
  </si>
  <si>
    <t>02604</t>
  </si>
  <si>
    <t>MACARANDUBA EM PECAS, DE 7,50X7,50CM (3"X3")</t>
  </si>
  <si>
    <t>02603</t>
  </si>
  <si>
    <t>MACARANDUBA EM PECAS, DE 7,50X11,25CM (3"X4.1/2")</t>
  </si>
  <si>
    <t>TRANSPORTE HORIZONTAL DE MATERIAL DE 1¦CATEGORIA OU ENTULHO,EM CARRINHOS,A 20,00M DE DISTANCIA,INCLUSIVE CARGA A PA (OBS.:3%- DESGASTE DE FERRAMENTAS E EPI).</t>
  </si>
  <si>
    <t>05.001.0163-A</t>
  </si>
  <si>
    <t>20087</t>
  </si>
  <si>
    <t>MAO-DE-OBRA DE LADRILHEIRO, INCLUSIVE ENCARGOS SOCIAIS DESONERADOS</t>
  </si>
  <si>
    <t>05.001.0023-A</t>
  </si>
  <si>
    <t>12.003.0230-A</t>
  </si>
  <si>
    <t>30174</t>
  </si>
  <si>
    <t>07.005.0030-B ARGAMASSA CIM.,CAL HIDR.AREIA-EMBOC.INT.PREPARO MECANICO</t>
  </si>
  <si>
    <t>30153</t>
  </si>
  <si>
    <t>07.001.0130-B ARGAMASSA CIM.,SAIBRO,AREIA 1:3:3,PREPARO MANUAL</t>
  </si>
  <si>
    <t>30129</t>
  </si>
  <si>
    <t>07.001.0010-B PASTA DE CIMENTO COMUM</t>
  </si>
  <si>
    <t>13.025.0058-A</t>
  </si>
  <si>
    <t>20091</t>
  </si>
  <si>
    <t>MAO-DE-OBRA DE MARMORISTA DE MARMORE E GRANITO, INCLUSIVE ENCARGOS SOCIAIS DESONERADOS</t>
  </si>
  <si>
    <t>16.001.0060-A</t>
  </si>
  <si>
    <t>16.005.0028-A</t>
  </si>
  <si>
    <t>05.001.0171-A</t>
  </si>
  <si>
    <t>05.006.0002-B</t>
  </si>
  <si>
    <t>ALUGUEL DE TORRE-ANDAIME TUBULAR SOBRE RODIZIOS,EXCLUSIVE ALUGUEL DOS RODIZIOS,TRANSPORTE DOS ELEMENTOS DA TORRE,PLATAFO RMA OU PASSARELA DE PINHO,MONTAGEM E DESMONTAGEM</t>
  </si>
  <si>
    <t>04.020.0122-A</t>
  </si>
  <si>
    <t>04.021.0010-A</t>
  </si>
  <si>
    <t>CARGA E DESCARGA MANUAL DE ANDAIME TUBULAR,INCLUSIVE TEMPO DE ESPERA DO CAMINHAO,CONSIDERANDO-SE A AREA DE PROJECAO VERT ICAL (OBS.:3%-DESGASTE DE FERRAMENTAS E EPI).</t>
  </si>
  <si>
    <t>05.008.0001-A</t>
  </si>
  <si>
    <t>MONTAGEM E DESMONTAGEM DE ANDAIME COM ELEMENTOS TUBULARES,CONSIDERANDO-SE A AREA VERTICAL RECOBERTA (OBS.:3%-DESGASTE DE FERRAMENTAS E EPI).</t>
  </si>
  <si>
    <t>05.005.0012-B</t>
  </si>
  <si>
    <t>PLATAFORMA OU PASSARELA DE MADEIRA DE 1¦,CONSIDERANDO-SE APROVEITAMENTO DA MADEIRA 20 VEZES,EXCLUSIVE ANDAIME OU OUTRO SUPORTE E MOVIMENTACAO(VIDE ITEM 05.008.0008)</t>
  </si>
  <si>
    <t>05.008.0008-B</t>
  </si>
  <si>
    <t>MOVIMENTACAO VERTICAL OU HORIZONTAL DE PLATAFORMA OU PASSARELA (OBS.:3%-DESGASTE DE FERRAMENTAS E EPI).</t>
  </si>
  <si>
    <t>MXMES</t>
  </si>
  <si>
    <t>02724</t>
  </si>
  <si>
    <t>ALUGUEL DE DOIS ELEMENTOS TS-3 E DUAS DIAGONAIS "X", EXCLUSIVE TRANSPORTE, PARAANDAIME TUBULAR</t>
  </si>
  <si>
    <t>UNxDIA</t>
  </si>
  <si>
    <t>M2XKM</t>
  </si>
  <si>
    <t>05937</t>
  </si>
  <si>
    <t>MACARANDUBA EM PECAS, DE 7,50X30,00CM (3"X12")</t>
  </si>
  <si>
    <t>30411</t>
  </si>
  <si>
    <t>19.004.0001-C CAMINHAO CARROC. FIXA, 3,5T (CP)</t>
  </si>
  <si>
    <t>30413</t>
  </si>
  <si>
    <t>19.004.0001-E CAMINHAO CARROC. FIXA, 3,5T (CI)</t>
  </si>
  <si>
    <t>ESQUADRIAS</t>
  </si>
  <si>
    <t>05.001.0134-A</t>
  </si>
  <si>
    <t>ARRANCAMENTO DE PORTAS,JANELAS E CAIXILHOS DE AR CONDICIONADO OU OUTROS (OBS.:3%-DESGASTE DE FERRAMENTAS E EPI).</t>
  </si>
  <si>
    <t>05.001.0041-A</t>
  </si>
  <si>
    <t>REMOCAO DE COBERTURA EM TELHAS DE FIBROCIMENTO CONVENCIONAL,ONDULADA,INCLUSIVE MADEIRAMENTO,MEDIDO O CONJUNTO PELA AREA REAL DE COBERTURA (OBS.:3%-DESGASTE DE FERRAMENTAS E EPI).</t>
  </si>
  <si>
    <t>VERGA MOLDADA IN LOCO EM CONCRETO PARA JANELAS COM MAIS DE 1,5 M DE VÃO. AF_03/2016</t>
  </si>
  <si>
    <t>ESPACADOR / DISTANCIADOR CIRCULAR COM ENTRADA LATERAL, EM PLASTICO, PARA VERGALHAO *4,2 A 12,5* MM, COBRIMENTO 20 MM</t>
  </si>
  <si>
    <t>PONTALETE DE MADEIRA NAO APARELHADA *7,5 X 7,5* CM (3 X 3 ") PINUS, MISTA OU EQUIVALENTE DA REGIAO</t>
  </si>
  <si>
    <t>DESMOLDANTE PROTETOR PARA FORMAS DE MADEIRA, DE BASE OLEOSA EMULSIONADA EM AGUA</t>
  </si>
  <si>
    <t>13.045.0045-A</t>
  </si>
  <si>
    <t>PEITORIL DE MARMORE BRANCO CLASSICO,COM ESPESSURA DE 2CM,COM 2 POLIMENTOS,EM 2 TIRAS,NA LARGURA,SOMADA DE 20CM, SENDO A PARTE INFERIOR EM SUPERPOSICAO,ASSENTE COMO EM 13.045.0040 (OBS.:3%-DESGASTE DE FERRAMENTAS E EPI).</t>
  </si>
  <si>
    <t>00391</t>
  </si>
  <si>
    <t>PLACA DE MARMORE BRANCO CLASSICO, POLIDO, C/ESPESSURA DE 2CM</t>
  </si>
  <si>
    <t>JANELA DE ALUMÍNIO DE CORRER, 4 FOLHAS, FIXAÇÃO COM PARAFUSO SOBRE CONTRAMARCO (EXCLUSIVE CONTRAMARCO), COM VIDROS, PADRONIZADA. AF_07/2016</t>
  </si>
  <si>
    <t>SILICONE ACETICO USO GERAL INCOLOR 280 G</t>
  </si>
  <si>
    <t>JANELA DE CORRER EM ALUMINIO, 120 X 150 CM (A X L), 4 FLS, BANDEIRA COM BASCULA,  ACABAMENTO ACET OU BRILHANTE, BATENTE/REQUADRO DE 6 A 14 CM, COM VIDRO, SEM GUARNICAO/ALIZAR</t>
  </si>
  <si>
    <t>PARAFUSO DE ACO ZINCADO COM ROSCA SOBERBA, CABECA CHATA E FENDA SIMPLES, DIAMETRO 4,2 MM, COMPRIMENTO * 32 * MM</t>
  </si>
  <si>
    <t>16.001.0086-A</t>
  </si>
  <si>
    <t>PONTALETE DE MADEIRA SERRADA,EM PECAS DE 3"X3",VERTICAIS E HORIZONTAIS,PARA COBERTURA DE TELHAS ONDULADAS DE QUALQUER TI PO,MEDIDO PELA AREA REAL DA COBERTURA DO TELHADO.FORNECIMENTO E COLOCACAO (OBS.:3%-DESGASTE DE FERRAMENTAS E EPI).</t>
  </si>
  <si>
    <t>16.005.0025-A</t>
  </si>
  <si>
    <t>CALHA DE ALUMINIO,0,18M,EM CHAPA DE ESPESSURA 0,5MM E DESENVOLVIMENTO 0,30M.FORNECIMENTO E COLOCACAO (OBS.:3%-DESGASTE DE FERRAMENTAS E EPI 5%-REBITES ETC).</t>
  </si>
  <si>
    <t>01999</t>
  </si>
  <si>
    <t>MAO-DE-OBRA DE SERVENTE DA CONSTRUCAO CIVIL, INCLUSIVE ENCARGOS SOCIAIS</t>
  </si>
  <si>
    <t>01967</t>
  </si>
  <si>
    <t>MAO-DE-OBRA DE CARPINTEIRO DE ESQUADRIASDE MADEIRA INCLUSIVE ENCARGOS SOCIAIS</t>
  </si>
  <si>
    <t>05.001.0023-0</t>
  </si>
  <si>
    <t>01968</t>
  </si>
  <si>
    <t>MAO-DE-OBRA DE PEDREIRO, INCLUSIVE ENCARGOS SOCIAIS</t>
  </si>
  <si>
    <t>05.001.0134-0</t>
  </si>
  <si>
    <t>05.001.0041-0</t>
  </si>
  <si>
    <t>01990</t>
  </si>
  <si>
    <t>MAO-DE-OBRA DE CARPINTEIRO DE FORMA DE CONCRETO, INCLUSIVE ENCARGOS SOCIAIS</t>
  </si>
  <si>
    <t>05.001.0163-0</t>
  </si>
  <si>
    <t>01978</t>
  </si>
  <si>
    <t>MAO-DE-OBRA DE LADRILHEIRO, INCLUSIVE ENCARGOS SOCIAIS</t>
  </si>
  <si>
    <t>12.003.0230-0</t>
  </si>
  <si>
    <t>15234</t>
  </si>
  <si>
    <t>07.005.0030-1 ARGAMASSA CIM.,CAL HIDR.AREIA-EMBOC.INT.PREPARO MECANICO</t>
  </si>
  <si>
    <t>13.025.0058-0</t>
  </si>
  <si>
    <t>03084</t>
  </si>
  <si>
    <t>13.001.0010-1 CHAPISCO SUPERF. CONCR./ALVEN.,COM ARGAMASSA DE CIMENTO E AREIA NO TRACO 1:3</t>
  </si>
  <si>
    <t>13.001.0026-0</t>
  </si>
  <si>
    <t>01605</t>
  </si>
  <si>
    <t>07.002.0025-1 ARGAMASSA CIM.,AREIA TRACO 1:3,PREPAROMECANICO</t>
  </si>
  <si>
    <t>13.045.0045-0</t>
  </si>
  <si>
    <t>01976</t>
  </si>
  <si>
    <t>MAO-DE-OBRA DE MARMORISTA DE MARMORE E GRANITO, INCLUSIVE ENCARGOS SOCIAIS</t>
  </si>
  <si>
    <t>03429</t>
  </si>
  <si>
    <t>07.001.0130-1 ARGAMASSA CIM.,SAIBRO,AREIA 1:3:3,PREPARO MANUAL</t>
  </si>
  <si>
    <t>03077</t>
  </si>
  <si>
    <t>07.001.0010-1 PASTA DE CIMENTO COMUM</t>
  </si>
  <si>
    <t>17.018.0110-0</t>
  </si>
  <si>
    <t>01966</t>
  </si>
  <si>
    <t>MAO-DE-OBRA DE PINTOR, INCLUSIVE ENCARGOS SOCIAIS</t>
  </si>
  <si>
    <t>16.001.0060-0</t>
  </si>
  <si>
    <t>16.001.0086-0</t>
  </si>
  <si>
    <t>16.005.0028-0</t>
  </si>
  <si>
    <t>01993</t>
  </si>
  <si>
    <t>MAO-DE-OBRA DE BOMBEIRO HIDRAULICO DA CONSTRUCAO CIVIL, INCLUSIVE ENCARGOS SOCIAIS</t>
  </si>
  <si>
    <t>16.005.0025-0</t>
  </si>
  <si>
    <t>04.014.0095-0</t>
  </si>
  <si>
    <t>05.001.0171-0</t>
  </si>
  <si>
    <t>05.006.0002-1</t>
  </si>
  <si>
    <t>04.020.0122-0</t>
  </si>
  <si>
    <t>TRANSPORTE DE ANDAIME TUBULAR,CONSIDERANDO-SE A AREA DE PROJECAO VERTICAL DO ANDAIME,EXCLUSIVE CARGA,DESCARGA E TEMPO DE ESPERA DO CAMINHAO(VIDE ITEM 04.021.0010)</t>
  </si>
  <si>
    <t>01001</t>
  </si>
  <si>
    <t>19.004.0001-2 CAMINHAO CARROC. FIXA, 3,5T (CP)</t>
  </si>
  <si>
    <t>04.021.0010-0</t>
  </si>
  <si>
    <t>01003</t>
  </si>
  <si>
    <t>19.004.0001-4 CAMINHAO CARROC. FIXA, 3,5T (CI)</t>
  </si>
  <si>
    <t>05.008.0001-0</t>
  </si>
  <si>
    <t>05.005.0012-1</t>
  </si>
  <si>
    <t>05.008.0008-1</t>
  </si>
  <si>
    <t>1.5</t>
  </si>
  <si>
    <t>2.1</t>
  </si>
  <si>
    <t>2.3</t>
  </si>
  <si>
    <t>2.5</t>
  </si>
  <si>
    <t>3.1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</si>
  <si>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</si>
  <si>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</si>
  <si>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</si>
  <si>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</si>
  <si>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</si>
  <si>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</si>
  <si>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</si>
  <si>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</si>
  <si>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</si>
  <si>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</si>
  <si>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</si>
  <si>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</si>
  <si>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</si>
  <si>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</si>
  <si>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</si>
  <si>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 xml:space="preserve">PINTURA  </t>
  </si>
  <si>
    <t>TRANSPORTE E BOTA-FORA</t>
  </si>
  <si>
    <t>ORÇAMENTO: Eng° Patrick Suckow</t>
  </si>
  <si>
    <t>Local: Rua Getulio Borges Rodrigues, 210 - Boa Sorte, Barra Mansa - RJ</t>
  </si>
  <si>
    <t>Serviço : REFORMA DO TELHADO DO SIRENE BOA SORTE</t>
  </si>
  <si>
    <t xml:space="preserve">ORÇAMENTO Nº </t>
  </si>
  <si>
    <t>TELHA DE FIBROCIMENTO ONDULADA E = 6 MM, DE 2,44 X 1,10 M (SEM AMIANTO)</t>
  </si>
  <si>
    <t>PARAFUSO ZINCADO ROSCA SOBERBA, CABECA SEXTAVADA, 5/16 " X 250 MM, PARA FIXACAO DE TELHA EM MADEIRA</t>
  </si>
  <si>
    <t>CONJUNTO ARRUELAS DE VEDACAO 5/16" PARA TELHA FIBROCIMENTO (UMA ARRUELA METALICA E UMA ARRUELA PVC - CONICAS)</t>
  </si>
  <si>
    <t>CJ</t>
  </si>
  <si>
    <t>TELHADISTA COM ENCARGOS COMPLEMENTARES</t>
  </si>
  <si>
    <t>CHI</t>
  </si>
  <si>
    <t>CHP</t>
  </si>
  <si>
    <t>06.272.0003-A</t>
  </si>
  <si>
    <t>TUBO PVC (NBR-7362), PARA ESGOTO SANITARIO, COM DIAMETRO NOMINAL DE 150MM, INCLUSIVE ANEL DE BORRACHA. FORNECIMENTO</t>
  </si>
  <si>
    <t>05016</t>
  </si>
  <si>
    <t>TUBO DE PVC PARA ESGOTO, REFORCADO, PONTA E BOLSA, INCLUSIVE ANEL DE BORRACHA, ABNT-NBR 7362, DE 150MM</t>
  </si>
  <si>
    <t>06.272.0003-0</t>
  </si>
  <si>
    <t>So00000093187</t>
  </si>
  <si>
    <t>So0039017</t>
  </si>
  <si>
    <t>So0004491</t>
  </si>
  <si>
    <t>So0002692</t>
  </si>
  <si>
    <t>So00000088316</t>
  </si>
  <si>
    <t>So00000088309</t>
  </si>
  <si>
    <t>So00000094970</t>
  </si>
  <si>
    <t>So00000094970 CONCRETO FCK = 20MPA, TRAÇO 1:2,7:3 (CIMENTO/ AREIA MÉDIA/ BRITA 1)  - PREPARO MECÂNICO COM BETONEIRA 600 L. AF_07/2016</t>
  </si>
  <si>
    <t>So00000092793</t>
  </si>
  <si>
    <t>So00000092793 CORTE E DOBRA DE AÇO CA-50, DIÂMETRO DE 8,0 MM, UTILIZADO EM ESTRUTURAS DIVERSAS, EXCETO LAJES. AF_12/2015</t>
  </si>
  <si>
    <t>So00000092270</t>
  </si>
  <si>
    <t>So00000092270 FABRICAÇÃO DE FÔRMA PARA VIGAS, COM MADEIRA SERRADA, E = 25 MM. AF_12/2015</t>
  </si>
  <si>
    <t>So00000094573</t>
  </si>
  <si>
    <t>So0039961</t>
  </si>
  <si>
    <t>So0034364</t>
  </si>
  <si>
    <t>So0004377</t>
  </si>
  <si>
    <t>So00000094207</t>
  </si>
  <si>
    <t>TELHAMENTO COM TELHA ONDULADA DE FIBROCIMENTO E = 6 MM, COM RECOBRIMENTO LATERAL DE 1/4 DE ONDA PARA TELHADO COM INCLINAÇÃO MAIOR QUE 10°, COM ATÉ 2 ÁGUAS, INCLUSO IÇAMENTO. AF_07/2019</t>
  </si>
  <si>
    <t>So0007194</t>
  </si>
  <si>
    <t>So0004302</t>
  </si>
  <si>
    <t>So0001607</t>
  </si>
  <si>
    <t>So00000088323</t>
  </si>
  <si>
    <t>So00000093282</t>
  </si>
  <si>
    <t>So00000093282 GUINCHO ELÉTRICO DE COLUNA, CAPACIDADE 400 KG, COM MOTO FREIO, MOTOR TRIFÁSICO DE 1,25 CV - CHI DIURNO. AF_03/2016</t>
  </si>
  <si>
    <t>So00000093281</t>
  </si>
  <si>
    <t>So00000093281 GUINCHO ELÉTRICO DE COLUNA, CAPACIDADE 400 KG, COM MOTO FREIO, MOTOR TRIFÁSICO DE 1,25 CV - CHP DIURNO. AF_03/2016</t>
  </si>
  <si>
    <t>So00000100265</t>
  </si>
  <si>
    <t>TRANSPORTE VERTICAL MANUAL, 1 PAVIMENTO, DE JANELA (UNIDADE: M2). AF_07/2019</t>
  </si>
  <si>
    <t>TOTAL 6.0</t>
  </si>
  <si>
    <t>TOTAL 5.0</t>
  </si>
  <si>
    <t>SI00000093187</t>
  </si>
  <si>
    <t>0039017</t>
  </si>
  <si>
    <t>0004491</t>
  </si>
  <si>
    <t>0002692</t>
  </si>
  <si>
    <t>SI00000088316</t>
  </si>
  <si>
    <t>SI00000088309</t>
  </si>
  <si>
    <t>SI00000094970</t>
  </si>
  <si>
    <t>SI00000094970 CONCRETO FCK = 20MPA, TRAÇO 1:2,7:3 (CIMENTO/ AREIA MÉDIA/ BRITA 1)  - PREPARO MECÂNICO COM BETONEIRA 600 L. AF_07/2016</t>
  </si>
  <si>
    <t>SI00000092793</t>
  </si>
  <si>
    <t>SI00000092793 CORTE E DOBRA DE AÇO CA-50, DIÂMETRO DE 8,0 MM, UTILIZADO EM ESTRUTURAS DIVERSAS, EXCETO LAJES. AF_12/2015</t>
  </si>
  <si>
    <t>SI00000092270</t>
  </si>
  <si>
    <t>SI00000092270 FABRICAÇÃO DE FÔRMA PARA VIGAS, COM MADEIRA SERRADA, E = 25 MM. AF_12/2015</t>
  </si>
  <si>
    <t>SI00000094573</t>
  </si>
  <si>
    <t>0039961</t>
  </si>
  <si>
    <t>0034364</t>
  </si>
  <si>
    <t>0004377</t>
  </si>
  <si>
    <t>SI00000094207</t>
  </si>
  <si>
    <t>0007194</t>
  </si>
  <si>
    <t>0004302</t>
  </si>
  <si>
    <t>0001607</t>
  </si>
  <si>
    <t>SI00000088323</t>
  </si>
  <si>
    <t>SI00000093282</t>
  </si>
  <si>
    <t>SI00000093282 GUINCHO ELÉTRICO DE COLUNA, CAPACIDADE 400 KG, COM MOTO FREIO, MOTOR TRIFÁSICO DE 1,25 CV - CHI DIURNO. AF_03/2016</t>
  </si>
  <si>
    <t>SI00000093281</t>
  </si>
  <si>
    <t>SI00000093281 GUINCHO ELÉTRICO DE COLUNA, CAPACIDADE 400 KG, COM MOTO FREIO, MOTOR TRIFÁSICO DE 1,25 CV - CHP DIURNO. AF_03/2016</t>
  </si>
  <si>
    <r>
      <t>Data-Base:   EMOP -  RJ / SINAPI e SCO-RJ-</t>
    </r>
    <r>
      <rPr>
        <b/>
        <sz val="12"/>
        <color indexed="8"/>
        <rFont val="Arial"/>
        <family val="2"/>
      </rPr>
      <t xml:space="preserve">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SETEMBRO - 2019</t>
    </r>
  </si>
  <si>
    <r>
      <t>Data-Base:   EMOP -  RJ / SINAPI e SCO-RJ-</t>
    </r>
    <r>
      <rPr>
        <b/>
        <sz val="12"/>
        <color indexed="8"/>
        <rFont val="Arial"/>
        <family val="2"/>
      </rPr>
      <t xml:space="preserve"> NAO Deso</t>
    </r>
    <r>
      <rPr>
        <b/>
        <sz val="12"/>
        <color indexed="8"/>
        <rFont val="Arial"/>
        <family val="2"/>
      </rPr>
      <t>nerado -</t>
    </r>
    <r>
      <rPr>
        <sz val="12"/>
        <color indexed="8"/>
        <rFont val="Arial"/>
        <family val="2"/>
      </rPr>
      <t xml:space="preserve"> Base SETEMBRO -2019</t>
    </r>
  </si>
  <si>
    <t xml:space="preserve">PLANILHA ORÇAMENTÁRIA </t>
  </si>
  <si>
    <t>DATA:24/01/2020</t>
  </si>
  <si>
    <t>Data-Base:   EMOP -  RJ / SINAPI e SCO-RJ-  Desonerado - Base SETEMBRO -2019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</si>
</sst>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"/>
    <numFmt numFmtId="166" formatCode="0.0%"/>
    <numFmt numFmtId="167" formatCode="_([$€]* #,##0.00_);_([$€]* \(#,##0.00\);_([$€]* &quot;-&quot;??_);_(@_)"/>
    <numFmt numFmtId="168" formatCode="_(* #,##0.00_);_(* \(#,##0.00\);_(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_ ;\-#,##0.00\ 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mmm/yyyy"/>
    <numFmt numFmtId="188" formatCode="&quot;R$&quot;\ #,##0.00"/>
    <numFmt numFmtId="189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11"/>
      <name val="Switzerland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5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57" fillId="33" borderId="11" xfId="65" applyNumberFormat="1" applyFont="1" applyFill="1" applyBorder="1" applyAlignment="1">
      <alignment horizontal="center"/>
      <protection/>
    </xf>
    <xf numFmtId="49" fontId="57" fillId="33" borderId="12" xfId="59" applyNumberFormat="1" applyFont="1" applyFill="1" applyBorder="1">
      <alignment/>
      <protection/>
    </xf>
    <xf numFmtId="4" fontId="57" fillId="33" borderId="12" xfId="59" applyNumberFormat="1" applyFont="1" applyFill="1" applyBorder="1" applyAlignment="1">
      <alignment horizontal="left" readingOrder="1"/>
      <protection/>
    </xf>
    <xf numFmtId="4" fontId="57" fillId="33" borderId="11" xfId="66" applyNumberFormat="1" applyFont="1" applyFill="1" applyBorder="1" applyAlignment="1">
      <alignment horizontal="left" vertical="center"/>
      <protection/>
    </xf>
    <xf numFmtId="4" fontId="57" fillId="33" borderId="12" xfId="0" applyNumberFormat="1" applyFont="1" applyFill="1" applyBorder="1" applyAlignment="1">
      <alignment horizontal="left"/>
    </xf>
    <xf numFmtId="4" fontId="57" fillId="33" borderId="12" xfId="65" applyNumberFormat="1" applyFont="1" applyFill="1" applyBorder="1" applyAlignment="1">
      <alignment horizontal="left"/>
      <protection/>
    </xf>
    <xf numFmtId="4" fontId="57" fillId="33" borderId="13" xfId="65" applyNumberFormat="1" applyFont="1" applyFill="1" applyBorder="1" applyAlignment="1">
      <alignment horizontal="left"/>
      <protection/>
    </xf>
    <xf numFmtId="49" fontId="57" fillId="33" borderId="14" xfId="65" applyNumberFormat="1" applyFont="1" applyFill="1" applyBorder="1" applyAlignment="1">
      <alignment horizontal="center"/>
      <protection/>
    </xf>
    <xf numFmtId="49" fontId="57" fillId="33" borderId="0" xfId="59" applyNumberFormat="1" applyFont="1" applyFill="1" applyBorder="1">
      <alignment/>
      <protection/>
    </xf>
    <xf numFmtId="4" fontId="57" fillId="33" borderId="0" xfId="59" applyNumberFormat="1" applyFont="1" applyFill="1" applyBorder="1" applyAlignment="1">
      <alignment horizontal="left" readingOrder="1"/>
      <protection/>
    </xf>
    <xf numFmtId="4" fontId="57" fillId="33" borderId="14" xfId="66" applyNumberFormat="1" applyFont="1" applyFill="1" applyBorder="1" applyAlignment="1">
      <alignment horizontal="left" vertical="center"/>
      <protection/>
    </xf>
    <xf numFmtId="4" fontId="57" fillId="33" borderId="0" xfId="65" applyNumberFormat="1" applyFont="1" applyFill="1" applyBorder="1" applyAlignment="1">
      <alignment horizontal="left"/>
      <protection/>
    </xf>
    <xf numFmtId="4" fontId="57" fillId="33" borderId="0" xfId="59" applyNumberFormat="1" applyFont="1" applyFill="1" applyBorder="1" applyAlignment="1">
      <alignment horizontal="left"/>
      <protection/>
    </xf>
    <xf numFmtId="4" fontId="57" fillId="33" borderId="15" xfId="59" applyNumberFormat="1" applyFont="1" applyFill="1" applyBorder="1" applyAlignment="1">
      <alignment horizontal="left"/>
      <protection/>
    </xf>
    <xf numFmtId="4" fontId="58" fillId="33" borderId="0" xfId="59" applyNumberFormat="1" applyFont="1" applyFill="1" applyBorder="1" applyAlignment="1">
      <alignment vertical="center" wrapText="1" readingOrder="1"/>
      <protection/>
    </xf>
    <xf numFmtId="4" fontId="58" fillId="33" borderId="0" xfId="59" applyNumberFormat="1" applyFont="1" applyFill="1" applyBorder="1">
      <alignment/>
      <protection/>
    </xf>
    <xf numFmtId="49" fontId="57" fillId="33" borderId="16" xfId="65" applyNumberFormat="1" applyFont="1" applyFill="1" applyBorder="1" applyAlignment="1">
      <alignment horizontal="center"/>
      <protection/>
    </xf>
    <xf numFmtId="49" fontId="57" fillId="33" borderId="17" xfId="66" applyNumberFormat="1" applyFont="1" applyFill="1" applyBorder="1" applyAlignment="1">
      <alignment horizontal="center"/>
      <protection/>
    </xf>
    <xf numFmtId="4" fontId="58" fillId="33" borderId="17" xfId="66" applyNumberFormat="1" applyFont="1" applyFill="1" applyBorder="1" applyAlignment="1">
      <alignment/>
      <protection/>
    </xf>
    <xf numFmtId="0" fontId="4" fillId="0" borderId="13" xfId="62" applyFont="1" applyBorder="1">
      <alignment/>
      <protection/>
    </xf>
    <xf numFmtId="0" fontId="4" fillId="0" borderId="0" xfId="62" applyFont="1">
      <alignment/>
      <protection/>
    </xf>
    <xf numFmtId="0" fontId="7" fillId="0" borderId="0" xfId="62">
      <alignment/>
      <protection/>
    </xf>
    <xf numFmtId="0" fontId="4" fillId="0" borderId="15" xfId="62" applyFont="1" applyBorder="1">
      <alignment/>
      <protection/>
    </xf>
    <xf numFmtId="0" fontId="4" fillId="0" borderId="18" xfId="62" applyFont="1" applyBorder="1">
      <alignment/>
      <protection/>
    </xf>
    <xf numFmtId="0" fontId="10" fillId="0" borderId="19" xfId="62" applyFont="1" applyBorder="1" applyAlignment="1">
      <alignment horizontal="center"/>
      <protection/>
    </xf>
    <xf numFmtId="0" fontId="7" fillId="0" borderId="0" xfId="62" applyBorder="1">
      <alignment/>
      <protection/>
    </xf>
    <xf numFmtId="0" fontId="10" fillId="0" borderId="20" xfId="62" applyFont="1" applyBorder="1" applyAlignment="1">
      <alignment horizontal="center"/>
      <protection/>
    </xf>
    <xf numFmtId="0" fontId="10" fillId="0" borderId="13" xfId="62" applyFont="1" applyBorder="1" applyAlignment="1">
      <alignment horizontal="center"/>
      <protection/>
    </xf>
    <xf numFmtId="0" fontId="9" fillId="0" borderId="21" xfId="63" applyFont="1" applyFill="1" applyBorder="1" applyAlignment="1">
      <alignment vertical="top"/>
      <protection/>
    </xf>
    <xf numFmtId="39" fontId="8" fillId="0" borderId="21" xfId="62" applyNumberFormat="1" applyFont="1" applyBorder="1" applyAlignment="1">
      <alignment/>
      <protection/>
    </xf>
    <xf numFmtId="0" fontId="8" fillId="0" borderId="0" xfId="62" applyFont="1">
      <alignment/>
      <protection/>
    </xf>
    <xf numFmtId="0" fontId="9" fillId="0" borderId="19" xfId="65" applyFont="1" applyFill="1" applyBorder="1" applyAlignment="1">
      <alignment vertical="top"/>
      <protection/>
    </xf>
    <xf numFmtId="0" fontId="8" fillId="0" borderId="19" xfId="65" applyFont="1" applyFill="1" applyBorder="1" applyAlignment="1">
      <alignment horizontal="left" vertical="top"/>
      <protection/>
    </xf>
    <xf numFmtId="10" fontId="8" fillId="0" borderId="19" xfId="71" applyNumberFormat="1" applyFont="1" applyFill="1" applyBorder="1" applyAlignment="1">
      <alignment/>
    </xf>
    <xf numFmtId="39" fontId="8" fillId="0" borderId="0" xfId="62" applyNumberFormat="1" applyFont="1">
      <alignment/>
      <protection/>
    </xf>
    <xf numFmtId="0" fontId="8" fillId="0" borderId="19" xfId="65" applyFont="1" applyFill="1" applyBorder="1" applyAlignment="1">
      <alignment horizontal="justify" vertical="justify" wrapText="1"/>
      <protection/>
    </xf>
    <xf numFmtId="0" fontId="11" fillId="0" borderId="19" xfId="65" applyFont="1" applyBorder="1" applyAlignment="1">
      <alignment vertical="top"/>
      <protection/>
    </xf>
    <xf numFmtId="0" fontId="11" fillId="0" borderId="19" xfId="65" applyFont="1" applyBorder="1" applyAlignment="1">
      <alignment horizontal="left" vertical="top"/>
      <protection/>
    </xf>
    <xf numFmtId="0" fontId="12" fillId="0" borderId="0" xfId="62" applyFont="1">
      <alignment/>
      <protection/>
    </xf>
    <xf numFmtId="0" fontId="8" fillId="0" borderId="0" xfId="62" applyFont="1" applyBorder="1">
      <alignment/>
      <protection/>
    </xf>
    <xf numFmtId="4" fontId="8" fillId="0" borderId="0" xfId="62" applyNumberFormat="1" applyFont="1">
      <alignment/>
      <protection/>
    </xf>
    <xf numFmtId="0" fontId="57" fillId="34" borderId="19" xfId="0" applyFont="1" applyFill="1" applyBorder="1" applyAlignment="1">
      <alignment/>
    </xf>
    <xf numFmtId="0" fontId="37" fillId="33" borderId="0" xfId="0" applyFont="1" applyFill="1" applyAlignment="1">
      <alignment horizontal="right"/>
    </xf>
    <xf numFmtId="4" fontId="5" fillId="33" borderId="0" xfId="59" applyNumberFormat="1" applyFont="1" applyFill="1" applyBorder="1" applyAlignment="1">
      <alignment vertical="center" wrapText="1" readingOrder="1"/>
      <protection/>
    </xf>
    <xf numFmtId="4" fontId="6" fillId="33" borderId="0" xfId="66" applyNumberFormat="1" applyFont="1" applyFill="1" applyBorder="1" applyAlignment="1">
      <alignment horizontal="left"/>
      <protection/>
    </xf>
    <xf numFmtId="4" fontId="19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57" fillId="34" borderId="22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0" fontId="57" fillId="34" borderId="21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 vertical="justify" wrapText="1"/>
    </xf>
    <xf numFmtId="0" fontId="6" fillId="33" borderId="21" xfId="0" applyFont="1" applyFill="1" applyBorder="1" applyAlignment="1">
      <alignment horizontal="right"/>
    </xf>
    <xf numFmtId="4" fontId="37" fillId="33" borderId="17" xfId="0" applyNumberFormat="1" applyFont="1" applyFill="1" applyBorder="1" applyAlignment="1">
      <alignment horizontal="right"/>
    </xf>
    <xf numFmtId="4" fontId="37" fillId="33" borderId="22" xfId="0" applyNumberFormat="1" applyFont="1" applyFill="1" applyBorder="1" applyAlignment="1">
      <alignment horizontal="right"/>
    </xf>
    <xf numFmtId="4" fontId="6" fillId="33" borderId="21" xfId="0" applyNumberFormat="1" applyFont="1" applyFill="1" applyBorder="1" applyAlignment="1">
      <alignment horizontal="right"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 wrapText="1"/>
      <protection/>
    </xf>
    <xf numFmtId="4" fontId="3" fillId="0" borderId="0" xfId="67" applyNumberFormat="1" applyFont="1" applyFill="1" applyBorder="1" applyAlignment="1">
      <alignment horizontal="center" vertical="center"/>
      <protection/>
    </xf>
    <xf numFmtId="4" fontId="3" fillId="0" borderId="0" xfId="67" applyNumberFormat="1" applyFont="1" applyFill="1" applyBorder="1" applyAlignment="1">
      <alignment horizontal="right"/>
      <protection/>
    </xf>
    <xf numFmtId="4" fontId="3" fillId="0" borderId="0" xfId="68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3" fillId="0" borderId="0" xfId="67" applyFont="1" applyFill="1" applyBorder="1" applyAlignment="1">
      <alignment horizontal="justify" vertical="justify" wrapText="1"/>
      <protection/>
    </xf>
    <xf numFmtId="4" fontId="3" fillId="0" borderId="0" xfId="67" applyNumberFormat="1" applyFont="1" applyFill="1" applyBorder="1" applyAlignment="1">
      <alignment horizontal="justify" vertical="justify" wrapText="1"/>
      <protection/>
    </xf>
    <xf numFmtId="44" fontId="8" fillId="0" borderId="19" xfId="50" applyFont="1" applyFill="1" applyBorder="1" applyAlignment="1">
      <alignment/>
    </xf>
    <xf numFmtId="10" fontId="8" fillId="35" borderId="19" xfId="71" applyNumberFormat="1" applyFont="1" applyFill="1" applyBorder="1" applyAlignment="1">
      <alignment/>
    </xf>
    <xf numFmtId="4" fontId="8" fillId="35" borderId="20" xfId="56" applyNumberFormat="1" applyFont="1" applyFill="1" applyBorder="1">
      <alignment/>
      <protection/>
    </xf>
    <xf numFmtId="0" fontId="8" fillId="35" borderId="24" xfId="56" applyFont="1" applyFill="1" applyBorder="1">
      <alignment/>
      <protection/>
    </xf>
    <xf numFmtId="166" fontId="9" fillId="35" borderId="24" xfId="71" applyNumberFormat="1" applyFont="1" applyFill="1" applyBorder="1" applyAlignment="1">
      <alignment horizontal="center"/>
    </xf>
    <xf numFmtId="0" fontId="8" fillId="35" borderId="25" xfId="62" applyFont="1" applyFill="1" applyBorder="1">
      <alignment/>
      <protection/>
    </xf>
    <xf numFmtId="44" fontId="9" fillId="0" borderId="19" xfId="50" applyFont="1" applyFill="1" applyBorder="1" applyAlignment="1">
      <alignment/>
    </xf>
    <xf numFmtId="0" fontId="3" fillId="0" borderId="0" xfId="67" applyFont="1" applyFill="1" applyBorder="1" applyAlignment="1">
      <alignment horizontal="justify" vertical="top" wrapText="1"/>
      <protection/>
    </xf>
    <xf numFmtId="4" fontId="3" fillId="0" borderId="0" xfId="67" applyNumberFormat="1" applyFont="1" applyFill="1" applyBorder="1" applyAlignment="1">
      <alignment/>
      <protection/>
    </xf>
    <xf numFmtId="0" fontId="59" fillId="0" borderId="0" xfId="67" applyFont="1" applyFill="1" applyBorder="1" applyAlignment="1">
      <alignment horizontal="justify" vertical="justify" wrapText="1"/>
      <protection/>
    </xf>
    <xf numFmtId="4" fontId="59" fillId="0" borderId="0" xfId="67" applyNumberFormat="1" applyFont="1" applyFill="1" applyBorder="1" applyAlignment="1">
      <alignment horizontal="justify" vertical="justify" wrapText="1"/>
      <protection/>
    </xf>
    <xf numFmtId="4" fontId="59" fillId="0" borderId="0" xfId="68" applyNumberFormat="1" applyFont="1" applyFill="1" applyBorder="1" applyAlignment="1">
      <alignment horizontal="right"/>
      <protection/>
    </xf>
    <xf numFmtId="4" fontId="59" fillId="0" borderId="0" xfId="0" applyNumberFormat="1" applyFont="1" applyFill="1" applyBorder="1" applyAlignment="1">
      <alignment horizontal="right"/>
    </xf>
    <xf numFmtId="4" fontId="58" fillId="33" borderId="14" xfId="66" applyNumberFormat="1" applyFont="1" applyFill="1" applyBorder="1" applyAlignment="1">
      <alignment horizontal="left" vertical="center"/>
      <protection/>
    </xf>
    <xf numFmtId="4" fontId="58" fillId="33" borderId="0" xfId="66" applyNumberFormat="1" applyFont="1" applyFill="1" applyBorder="1" applyAlignment="1">
      <alignment horizontal="left" vertical="center"/>
      <protection/>
    </xf>
    <xf numFmtId="4" fontId="58" fillId="33" borderId="15" xfId="66" applyNumberFormat="1" applyFont="1" applyFill="1" applyBorder="1" applyAlignment="1">
      <alignment horizontal="left" vertical="center"/>
      <protection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0" xfId="0" applyFont="1" applyFill="1" applyBorder="1" applyAlignment="1">
      <alignment horizontal="left" vertical="center" wrapText="1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58" fillId="33" borderId="14" xfId="59" applyNumberFormat="1" applyFont="1" applyFill="1" applyBorder="1" applyAlignment="1">
      <alignment horizontal="left" vertical="center"/>
      <protection/>
    </xf>
    <xf numFmtId="4" fontId="58" fillId="33" borderId="0" xfId="59" applyNumberFormat="1" applyFont="1" applyFill="1" applyBorder="1" applyAlignment="1">
      <alignment horizontal="left" vertical="center"/>
      <protection/>
    </xf>
    <xf numFmtId="4" fontId="58" fillId="33" borderId="15" xfId="59" applyNumberFormat="1" applyFont="1" applyFill="1" applyBorder="1" applyAlignment="1">
      <alignment horizontal="left" vertical="center"/>
      <protection/>
    </xf>
    <xf numFmtId="0" fontId="5" fillId="33" borderId="16" xfId="66" applyFont="1" applyFill="1" applyBorder="1" applyAlignment="1">
      <alignment horizontal="left"/>
      <protection/>
    </xf>
    <xf numFmtId="0" fontId="5" fillId="33" borderId="17" xfId="66" applyFont="1" applyFill="1" applyBorder="1" applyAlignment="1">
      <alignment horizontal="left"/>
      <protection/>
    </xf>
    <xf numFmtId="0" fontId="5" fillId="33" borderId="18" xfId="66" applyFont="1" applyFill="1" applyBorder="1" applyAlignment="1">
      <alignment horizontal="left"/>
      <protection/>
    </xf>
    <xf numFmtId="49" fontId="57" fillId="33" borderId="23" xfId="65" applyNumberFormat="1" applyFont="1" applyFill="1" applyBorder="1" applyAlignment="1">
      <alignment horizontal="center" vertical="center" wrapText="1"/>
      <protection/>
    </xf>
    <xf numFmtId="0" fontId="58" fillId="33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9" fillId="0" borderId="23" xfId="64" applyNumberFormat="1" applyFont="1" applyBorder="1" applyAlignment="1">
      <alignment horizontal="center"/>
      <protection/>
    </xf>
    <xf numFmtId="4" fontId="9" fillId="0" borderId="22" xfId="64" applyNumberFormat="1" applyFont="1" applyBorder="1" applyAlignment="1">
      <alignment horizontal="center"/>
      <protection/>
    </xf>
    <xf numFmtId="0" fontId="10" fillId="0" borderId="20" xfId="62" applyFont="1" applyBorder="1" applyAlignment="1">
      <alignment horizontal="center" wrapText="1"/>
      <protection/>
    </xf>
    <xf numFmtId="0" fontId="10" fillId="0" borderId="24" xfId="62" applyFont="1" applyBorder="1" applyAlignment="1">
      <alignment horizontal="center" wrapText="1"/>
      <protection/>
    </xf>
    <xf numFmtId="0" fontId="10" fillId="0" borderId="25" xfId="62" applyFont="1" applyBorder="1" applyAlignment="1">
      <alignment horizontal="center" wrapText="1"/>
      <protection/>
    </xf>
    <xf numFmtId="0" fontId="10" fillId="0" borderId="23" xfId="62" applyFont="1" applyBorder="1" applyAlignment="1">
      <alignment horizontal="center"/>
      <protection/>
    </xf>
    <xf numFmtId="0" fontId="10" fillId="0" borderId="21" xfId="62" applyFont="1" applyBorder="1" applyAlignment="1">
      <alignment horizontal="center"/>
      <protection/>
    </xf>
    <xf numFmtId="0" fontId="10" fillId="0" borderId="22" xfId="62" applyFont="1" applyBorder="1" applyAlignment="1">
      <alignment horizontal="center"/>
      <protection/>
    </xf>
    <xf numFmtId="4" fontId="8" fillId="0" borderId="14" xfId="66" applyNumberFormat="1" applyFont="1" applyFill="1" applyBorder="1" applyAlignment="1">
      <alignment horizontal="center" vertical="center" wrapText="1"/>
      <protection/>
    </xf>
    <xf numFmtId="4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16" xfId="66" applyNumberFormat="1" applyFont="1" applyFill="1" applyBorder="1" applyAlignment="1">
      <alignment horizontal="center" vertical="center" wrapText="1"/>
      <protection/>
    </xf>
    <xf numFmtId="4" fontId="8" fillId="0" borderId="17" xfId="66" applyNumberFormat="1" applyFont="1" applyFill="1" applyBorder="1" applyAlignment="1">
      <alignment horizontal="center" vertical="center" wrapText="1"/>
      <protection/>
    </xf>
    <xf numFmtId="0" fontId="9" fillId="0" borderId="23" xfId="62" applyFont="1" applyBorder="1" applyAlignment="1">
      <alignment horizontal="left" vertical="top"/>
      <protection/>
    </xf>
    <xf numFmtId="0" fontId="9" fillId="0" borderId="22" xfId="62" applyFont="1" applyBorder="1" applyAlignment="1">
      <alignment horizontal="left" vertical="top"/>
      <protection/>
    </xf>
    <xf numFmtId="10" fontId="9" fillId="0" borderId="23" xfId="71" applyNumberFormat="1" applyFont="1" applyBorder="1" applyAlignment="1">
      <alignment horizontal="center"/>
    </xf>
    <xf numFmtId="10" fontId="9" fillId="0" borderId="22" xfId="71" applyNumberFormat="1" applyFont="1" applyBorder="1" applyAlignment="1">
      <alignment horizontal="center"/>
    </xf>
    <xf numFmtId="1" fontId="9" fillId="0" borderId="23" xfId="62" applyNumberFormat="1" applyFont="1" applyBorder="1" applyAlignment="1">
      <alignment horizontal="left" vertical="top"/>
      <protection/>
    </xf>
    <xf numFmtId="1" fontId="9" fillId="0" borderId="22" xfId="62" applyNumberFormat="1" applyFont="1" applyBorder="1" applyAlignment="1">
      <alignment horizontal="left" vertical="top"/>
      <protection/>
    </xf>
    <xf numFmtId="39" fontId="9" fillId="0" borderId="23" xfId="62" applyNumberFormat="1" applyFont="1" applyBorder="1" applyAlignment="1">
      <alignment horizontal="center"/>
      <protection/>
    </xf>
    <xf numFmtId="39" fontId="9" fillId="0" borderId="22" xfId="62" applyNumberFormat="1" applyFont="1" applyBorder="1" applyAlignment="1">
      <alignment horizontal="center"/>
      <protection/>
    </xf>
    <xf numFmtId="0" fontId="9" fillId="0" borderId="19" xfId="63" applyFont="1" applyFill="1" applyBorder="1" applyAlignment="1">
      <alignment horizontal="center" vertical="top"/>
      <protection/>
    </xf>
    <xf numFmtId="44" fontId="9" fillId="0" borderId="11" xfId="59" applyNumberFormat="1" applyFont="1" applyBorder="1" applyAlignment="1">
      <alignment horizontal="center" vertical="center" wrapText="1" readingOrder="1"/>
      <protection/>
    </xf>
    <xf numFmtId="44" fontId="9" fillId="0" borderId="12" xfId="59" applyNumberFormat="1" applyFont="1" applyBorder="1" applyAlignment="1">
      <alignment horizontal="center" vertical="center" wrapText="1" readingOrder="1"/>
      <protection/>
    </xf>
    <xf numFmtId="44" fontId="9" fillId="0" borderId="14" xfId="59" applyNumberFormat="1" applyFont="1" applyBorder="1" applyAlignment="1">
      <alignment horizontal="center" vertical="center" wrapText="1" readingOrder="1"/>
      <protection/>
    </xf>
    <xf numFmtId="44" fontId="9" fillId="0" borderId="0" xfId="59" applyNumberFormat="1" applyFont="1" applyBorder="1" applyAlignment="1">
      <alignment horizontal="center" vertical="center" wrapText="1" readingOrder="1"/>
      <protection/>
    </xf>
    <xf numFmtId="4" fontId="8" fillId="0" borderId="14" xfId="59" applyNumberFormat="1" applyFont="1" applyFill="1" applyBorder="1" applyAlignment="1">
      <alignment horizontal="center" vertical="center" wrapText="1" readingOrder="1"/>
      <protection/>
    </xf>
    <xf numFmtId="4" fontId="8" fillId="0" borderId="0" xfId="59" applyNumberFormat="1" applyFont="1" applyFill="1" applyBorder="1" applyAlignment="1">
      <alignment horizontal="center" vertical="center" wrapText="1" readingOrder="1"/>
      <protection/>
    </xf>
    <xf numFmtId="0" fontId="8" fillId="0" borderId="14" xfId="66" applyFont="1" applyFill="1" applyBorder="1" applyAlignment="1">
      <alignment horizontal="center"/>
      <protection/>
    </xf>
    <xf numFmtId="0" fontId="8" fillId="0" borderId="0" xfId="66" applyFont="1" applyFill="1" applyBorder="1" applyAlignment="1">
      <alignment horizontal="center"/>
      <protection/>
    </xf>
    <xf numFmtId="0" fontId="9" fillId="0" borderId="23" xfId="66" applyFont="1" applyFill="1" applyBorder="1" applyAlignment="1">
      <alignment horizontal="center" vertical="center" wrapText="1"/>
      <protection/>
    </xf>
    <xf numFmtId="0" fontId="9" fillId="0" borderId="21" xfId="66" applyFont="1" applyFill="1" applyBorder="1" applyAlignment="1">
      <alignment horizontal="center" vertical="center" wrapText="1"/>
      <protection/>
    </xf>
    <xf numFmtId="0" fontId="9" fillId="0" borderId="22" xfId="66" applyFont="1" applyFill="1" applyBorder="1" applyAlignment="1">
      <alignment horizontal="center" vertical="center" wrapText="1"/>
      <protection/>
    </xf>
    <xf numFmtId="4" fontId="8" fillId="0" borderId="14" xfId="59" applyNumberFormat="1" applyFont="1" applyFill="1" applyBorder="1" applyAlignment="1">
      <alignment horizontal="center" vertical="center" wrapText="1"/>
      <protection/>
    </xf>
    <xf numFmtId="4" fontId="8" fillId="0" borderId="0" xfId="59" applyNumberFormat="1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justify" vertical="justify" wrapText="1"/>
      <protection/>
    </xf>
    <xf numFmtId="4" fontId="3" fillId="0" borderId="19" xfId="67" applyNumberFormat="1" applyFont="1" applyFill="1" applyBorder="1" applyAlignment="1">
      <alignment horizontal="justify" vertical="justify" wrapText="1"/>
      <protection/>
    </xf>
    <xf numFmtId="4" fontId="3" fillId="0" borderId="19" xfId="68" applyNumberFormat="1" applyFont="1" applyFill="1" applyBorder="1" applyAlignment="1">
      <alignment horizontal="right"/>
      <protection/>
    </xf>
    <xf numFmtId="4" fontId="3" fillId="0" borderId="19" xfId="0" applyNumberFormat="1" applyFont="1" applyFill="1" applyBorder="1" applyAlignment="1">
      <alignment horizontal="right"/>
    </xf>
    <xf numFmtId="0" fontId="59" fillId="0" borderId="19" xfId="67" applyFont="1" applyFill="1" applyBorder="1" applyAlignment="1">
      <alignment horizontal="justify" vertical="justify" wrapText="1"/>
      <protection/>
    </xf>
    <xf numFmtId="4" fontId="59" fillId="0" borderId="19" xfId="67" applyNumberFormat="1" applyFont="1" applyFill="1" applyBorder="1" applyAlignment="1">
      <alignment horizontal="justify" vertical="justify" wrapText="1"/>
      <protection/>
    </xf>
    <xf numFmtId="0" fontId="3" fillId="0" borderId="19" xfId="67" applyFont="1" applyFill="1" applyBorder="1" applyAlignment="1">
      <alignment horizontal="center" vertical="center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justify" vertical="top" wrapText="1"/>
      <protection/>
    </xf>
    <xf numFmtId="4" fontId="3" fillId="0" borderId="19" xfId="67" applyNumberFormat="1" applyFont="1" applyFill="1" applyBorder="1" applyAlignment="1">
      <alignment horizontal="center" vertical="center"/>
      <protection/>
    </xf>
    <xf numFmtId="4" fontId="3" fillId="0" borderId="19" xfId="67" applyNumberFormat="1" applyFont="1" applyFill="1" applyBorder="1" applyAlignment="1">
      <alignment/>
      <protection/>
    </xf>
    <xf numFmtId="4" fontId="3" fillId="0" borderId="19" xfId="67" applyNumberFormat="1" applyFont="1" applyFill="1" applyBorder="1" applyAlignment="1">
      <alignment horizontal="right"/>
      <protection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Euro 2" xfId="45"/>
    <cellStyle name="Euro 2 2" xfId="46"/>
    <cellStyle name="Hyperlink" xfId="47"/>
    <cellStyle name="Followed Hyperlink" xfId="48"/>
    <cellStyle name="Incorreto" xfId="49"/>
    <cellStyle name="Currency" xfId="50"/>
    <cellStyle name="Currency [0]" xfId="51"/>
    <cellStyle name="Moeda 2" xfId="52"/>
    <cellStyle name="Moeda 3" xfId="53"/>
    <cellStyle name="Neutra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4" xfId="61"/>
    <cellStyle name="Normal_CRONOGRAMA" xfId="62"/>
    <cellStyle name="Normal_CRUZEI~1" xfId="63"/>
    <cellStyle name="Normal_Orçamento nº057-2003- Esc. Munic. AMPARO revisão" xfId="64"/>
    <cellStyle name="Normal_P_Getulio Vargas" xfId="65"/>
    <cellStyle name="Normal_P_Getulio Vargas 2" xfId="66"/>
    <cellStyle name="Normal_RUAS 3,4,7 e 8 R-1" xfId="67"/>
    <cellStyle name="Normal_RUAS 3,4,7 e 8 R-1 2 2" xfId="68"/>
    <cellStyle name="Nota" xfId="69"/>
    <cellStyle name="Percent" xfId="70"/>
    <cellStyle name="Porcentagem 2" xfId="71"/>
    <cellStyle name="Porcentagem 3" xfId="72"/>
    <cellStyle name="Saída" xfId="73"/>
    <cellStyle name="Comma [0]" xfId="74"/>
    <cellStyle name="Texto de Aviso" xfId="75"/>
    <cellStyle name="Texto Explicativo" xfId="76"/>
    <cellStyle name="Título" xfId="77"/>
    <cellStyle name="Título 1" xfId="78"/>
    <cellStyle name="Título 1 1" xfId="79"/>
    <cellStyle name="Título 1 1 1" xfId="80"/>
    <cellStyle name="Título 1 1_PLAN   (2)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723900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209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676275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676275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162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2</xdr:row>
      <xdr:rowOff>171450</xdr:rowOff>
    </xdr:from>
    <xdr:to>
      <xdr:col>6</xdr:col>
      <xdr:colOff>2114550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181100"/>
          <a:ext cx="20764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view="pageBreakPreview" zoomScale="70" zoomScaleSheetLayoutView="70" zoomScalePageLayoutView="0" workbookViewId="0" topLeftCell="A1">
      <selection activeCell="D4" sqref="D4:G4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1" max="11" width="11.00390625" style="0" bestFit="1" customWidth="1"/>
  </cols>
  <sheetData>
    <row r="1" spans="1:7" ht="15.75">
      <c r="A1" s="2"/>
      <c r="B1" s="3"/>
      <c r="C1" s="4" t="s">
        <v>22</v>
      </c>
      <c r="D1" s="5"/>
      <c r="E1" s="6"/>
      <c r="F1" s="7"/>
      <c r="G1" s="8"/>
    </row>
    <row r="2" spans="1:7" ht="15.75">
      <c r="A2" s="9"/>
      <c r="B2" s="10"/>
      <c r="C2" s="11" t="s">
        <v>23</v>
      </c>
      <c r="D2" s="12"/>
      <c r="E2" s="13"/>
      <c r="F2" s="14"/>
      <c r="G2" s="15"/>
    </row>
    <row r="3" spans="1:7" ht="15.75">
      <c r="A3" s="9"/>
      <c r="B3" s="10"/>
      <c r="C3" s="11" t="s">
        <v>24</v>
      </c>
      <c r="D3" s="82" t="s">
        <v>268</v>
      </c>
      <c r="E3" s="83"/>
      <c r="F3" s="83"/>
      <c r="G3" s="84"/>
    </row>
    <row r="4" spans="1:7" ht="15.75" customHeight="1">
      <c r="A4" s="9"/>
      <c r="B4" s="10"/>
      <c r="C4" s="16" t="s">
        <v>267</v>
      </c>
      <c r="D4" s="85" t="s">
        <v>339</v>
      </c>
      <c r="E4" s="86"/>
      <c r="F4" s="86"/>
      <c r="G4" s="87"/>
    </row>
    <row r="5" spans="1:7" ht="15.75">
      <c r="A5" s="9"/>
      <c r="B5" s="10"/>
      <c r="C5" s="45" t="s">
        <v>266</v>
      </c>
      <c r="D5" s="88" t="s">
        <v>74</v>
      </c>
      <c r="E5" s="89"/>
      <c r="F5" s="89"/>
      <c r="G5" s="90"/>
    </row>
    <row r="6" spans="1:7" ht="15.75">
      <c r="A6" s="9"/>
      <c r="B6" s="10"/>
      <c r="C6" s="17" t="s">
        <v>337</v>
      </c>
      <c r="D6" s="91" t="s">
        <v>75</v>
      </c>
      <c r="E6" s="92"/>
      <c r="F6" s="92"/>
      <c r="G6" s="93"/>
    </row>
    <row r="7" spans="1:7" ht="15.75">
      <c r="A7" s="9"/>
      <c r="B7" s="10"/>
      <c r="C7" s="46"/>
      <c r="D7" s="91" t="s">
        <v>265</v>
      </c>
      <c r="E7" s="92"/>
      <c r="F7" s="92"/>
      <c r="G7" s="93"/>
    </row>
    <row r="8" spans="1:7" ht="15.75">
      <c r="A8" s="18"/>
      <c r="B8" s="19"/>
      <c r="C8" s="20"/>
      <c r="D8" s="94" t="s">
        <v>50</v>
      </c>
      <c r="E8" s="95"/>
      <c r="F8" s="95"/>
      <c r="G8" s="96"/>
    </row>
    <row r="9" spans="1:7" ht="15">
      <c r="A9" s="97" t="s">
        <v>25</v>
      </c>
      <c r="B9" s="98"/>
      <c r="C9" s="98"/>
      <c r="D9" s="98"/>
      <c r="E9" s="98"/>
      <c r="F9" s="98"/>
      <c r="G9" s="98"/>
    </row>
    <row r="10" spans="1:9" s="48" customFormat="1" ht="12.75" customHeight="1">
      <c r="A10" s="99" t="s">
        <v>26</v>
      </c>
      <c r="B10" s="100" t="s">
        <v>51</v>
      </c>
      <c r="C10" s="100" t="s">
        <v>27</v>
      </c>
      <c r="D10" s="99" t="s">
        <v>12</v>
      </c>
      <c r="E10" s="101" t="s">
        <v>28</v>
      </c>
      <c r="F10" s="102" t="s">
        <v>29</v>
      </c>
      <c r="G10" s="102"/>
      <c r="H10" s="102"/>
      <c r="I10" s="102"/>
    </row>
    <row r="11" spans="1:9" s="48" customFormat="1" ht="12.75" customHeight="1">
      <c r="A11" s="99"/>
      <c r="B11" s="100"/>
      <c r="C11" s="100"/>
      <c r="D11" s="99"/>
      <c r="E11" s="101"/>
      <c r="F11" s="49" t="s">
        <v>67</v>
      </c>
      <c r="G11" s="49" t="s">
        <v>68</v>
      </c>
      <c r="H11" s="49" t="s">
        <v>69</v>
      </c>
      <c r="I11" s="47" t="s">
        <v>70</v>
      </c>
    </row>
    <row r="12" spans="1:9" s="43" customFormat="1" ht="15.75">
      <c r="A12" s="43" t="s">
        <v>14</v>
      </c>
      <c r="B12" s="51"/>
      <c r="C12" s="52" t="s">
        <v>15</v>
      </c>
      <c r="D12" s="52"/>
      <c r="E12" s="52"/>
      <c r="F12" s="52"/>
      <c r="G12" s="52"/>
      <c r="H12" s="52"/>
      <c r="I12" s="50"/>
    </row>
    <row r="13" spans="1:10" s="65" customFormat="1" ht="42.75">
      <c r="A13" s="143" t="s">
        <v>8</v>
      </c>
      <c r="B13" s="144" t="s">
        <v>76</v>
      </c>
      <c r="C13" s="145" t="s">
        <v>64</v>
      </c>
      <c r="D13" s="146" t="s">
        <v>0</v>
      </c>
      <c r="E13" s="147">
        <v>6</v>
      </c>
      <c r="F13" s="148">
        <f>TRUNC(G19,2)</f>
        <v>180</v>
      </c>
      <c r="G13" s="139">
        <f>TRUNC(F13*1.2247,2)</f>
        <v>220.44</v>
      </c>
      <c r="H13" s="139">
        <f>TRUNC(F13*E13,2)</f>
        <v>1080</v>
      </c>
      <c r="I13" s="140">
        <f>TRUNC(E13*G13,2)</f>
        <v>1322.64</v>
      </c>
      <c r="J13" s="66"/>
    </row>
    <row r="14" spans="1:10" s="65" customFormat="1" ht="28.5">
      <c r="A14" s="59"/>
      <c r="B14" s="60" t="s">
        <v>65</v>
      </c>
      <c r="C14" s="76" t="s">
        <v>66</v>
      </c>
      <c r="D14" s="61" t="s">
        <v>0</v>
      </c>
      <c r="E14" s="77">
        <v>1</v>
      </c>
      <c r="F14" s="62">
        <f>TRUNC(65.3234,2)</f>
        <v>65.32</v>
      </c>
      <c r="G14" s="63">
        <f>TRUNC(E14*F14,2)</f>
        <v>65.32</v>
      </c>
      <c r="H14" s="63"/>
      <c r="I14" s="64"/>
      <c r="J14" s="66"/>
    </row>
    <row r="15" spans="1:10" s="65" customFormat="1" ht="28.5">
      <c r="A15" s="59"/>
      <c r="B15" s="60" t="s">
        <v>4</v>
      </c>
      <c r="C15" s="76" t="s">
        <v>52</v>
      </c>
      <c r="D15" s="61" t="s">
        <v>5</v>
      </c>
      <c r="E15" s="77">
        <v>0.3</v>
      </c>
      <c r="F15" s="62">
        <f>TRUNC(8.55,2)</f>
        <v>8.55</v>
      </c>
      <c r="G15" s="63">
        <f>TRUNC(E15*F15,2)</f>
        <v>2.56</v>
      </c>
      <c r="H15" s="63"/>
      <c r="I15" s="64"/>
      <c r="J15" s="66"/>
    </row>
    <row r="16" spans="1:10" s="65" customFormat="1" ht="14.25">
      <c r="A16" s="59"/>
      <c r="B16" s="60" t="s">
        <v>2</v>
      </c>
      <c r="C16" s="76" t="s">
        <v>101</v>
      </c>
      <c r="D16" s="61" t="s">
        <v>3</v>
      </c>
      <c r="E16" s="77">
        <v>9.2</v>
      </c>
      <c r="F16" s="62">
        <f>TRUNC(3.796,2)</f>
        <v>3.79</v>
      </c>
      <c r="G16" s="63">
        <f>TRUNC(E16*F16,2)</f>
        <v>34.86</v>
      </c>
      <c r="H16" s="63"/>
      <c r="I16" s="64"/>
      <c r="J16" s="66"/>
    </row>
    <row r="17" spans="1:10" s="65" customFormat="1" ht="14.25">
      <c r="A17" s="59"/>
      <c r="B17" s="60" t="s">
        <v>191</v>
      </c>
      <c r="C17" s="76" t="s">
        <v>192</v>
      </c>
      <c r="D17" s="61" t="s">
        <v>6</v>
      </c>
      <c r="E17" s="77">
        <v>2.06</v>
      </c>
      <c r="F17" s="62">
        <f>TRUNC(15.09,2)</f>
        <v>15.09</v>
      </c>
      <c r="G17" s="63">
        <f>TRUNC(E17*F17,2)</f>
        <v>31.08</v>
      </c>
      <c r="H17" s="63"/>
      <c r="I17" s="64"/>
      <c r="J17" s="66"/>
    </row>
    <row r="18" spans="1:10" s="65" customFormat="1" ht="14.25">
      <c r="A18" s="59"/>
      <c r="B18" s="60" t="s">
        <v>193</v>
      </c>
      <c r="C18" s="76" t="s">
        <v>194</v>
      </c>
      <c r="D18" s="61" t="s">
        <v>6</v>
      </c>
      <c r="E18" s="77">
        <v>2.06</v>
      </c>
      <c r="F18" s="62">
        <f>TRUNC(22.42,2)</f>
        <v>22.42</v>
      </c>
      <c r="G18" s="63">
        <f>TRUNC(E18*F18,2)</f>
        <v>46.18</v>
      </c>
      <c r="H18" s="63"/>
      <c r="I18" s="64"/>
      <c r="J18" s="66"/>
    </row>
    <row r="19" spans="1:10" s="65" customFormat="1" ht="14.25">
      <c r="A19" s="59"/>
      <c r="B19" s="60"/>
      <c r="C19" s="76"/>
      <c r="D19" s="61"/>
      <c r="E19" s="77" t="s">
        <v>7</v>
      </c>
      <c r="F19" s="62"/>
      <c r="G19" s="63">
        <f>TRUNC(SUM(G14:G18),2)</f>
        <v>180</v>
      </c>
      <c r="H19" s="63"/>
      <c r="I19" s="64"/>
      <c r="J19" s="66"/>
    </row>
    <row r="20" spans="1:10" s="65" customFormat="1" ht="28.5">
      <c r="A20" s="143" t="s">
        <v>9</v>
      </c>
      <c r="B20" s="144" t="s">
        <v>195</v>
      </c>
      <c r="C20" s="145" t="s">
        <v>110</v>
      </c>
      <c r="D20" s="146" t="s">
        <v>1</v>
      </c>
      <c r="E20" s="147">
        <v>1.73</v>
      </c>
      <c r="F20" s="148">
        <f>TRUNC(G23,2)</f>
        <v>79.59</v>
      </c>
      <c r="G20" s="139">
        <f>TRUNC(F20*1.2247,2)</f>
        <v>97.47</v>
      </c>
      <c r="H20" s="139">
        <f>TRUNC(F20*E20,2)</f>
        <v>137.69</v>
      </c>
      <c r="I20" s="140">
        <f>TRUNC(E20*G20,2)</f>
        <v>168.62</v>
      </c>
      <c r="J20" s="66"/>
    </row>
    <row r="21" spans="1:10" s="65" customFormat="1" ht="14.25">
      <c r="A21" s="59"/>
      <c r="B21" s="60" t="s">
        <v>191</v>
      </c>
      <c r="C21" s="76" t="s">
        <v>192</v>
      </c>
      <c r="D21" s="61" t="s">
        <v>6</v>
      </c>
      <c r="E21" s="77">
        <v>4.635</v>
      </c>
      <c r="F21" s="62">
        <f>TRUNC(15.09,2)</f>
        <v>15.09</v>
      </c>
      <c r="G21" s="63">
        <f>TRUNC(E21*F21,2)</f>
        <v>69.94</v>
      </c>
      <c r="H21" s="63"/>
      <c r="I21" s="64"/>
      <c r="J21" s="66"/>
    </row>
    <row r="22" spans="1:10" s="65" customFormat="1" ht="14.25">
      <c r="A22" s="59"/>
      <c r="B22" s="60" t="s">
        <v>196</v>
      </c>
      <c r="C22" s="76" t="s">
        <v>197</v>
      </c>
      <c r="D22" s="61" t="s">
        <v>6</v>
      </c>
      <c r="E22" s="77">
        <v>0.4635</v>
      </c>
      <c r="F22" s="62">
        <f>TRUNC(20.83,2)</f>
        <v>20.83</v>
      </c>
      <c r="G22" s="63">
        <f>TRUNC(E22*F22,2)</f>
        <v>9.65</v>
      </c>
      <c r="H22" s="63"/>
      <c r="I22" s="64"/>
      <c r="J22" s="66"/>
    </row>
    <row r="23" spans="1:10" s="65" customFormat="1" ht="14.25">
      <c r="A23" s="59"/>
      <c r="B23" s="60"/>
      <c r="C23" s="76"/>
      <c r="D23" s="61"/>
      <c r="E23" s="77" t="s">
        <v>7</v>
      </c>
      <c r="F23" s="62"/>
      <c r="G23" s="63">
        <f>TRUNC(SUM(G21:G22),2)</f>
        <v>79.59</v>
      </c>
      <c r="H23" s="63"/>
      <c r="I23" s="64"/>
      <c r="J23" s="66"/>
    </row>
    <row r="24" spans="1:10" s="65" customFormat="1" ht="28.5">
      <c r="A24" s="143" t="s">
        <v>10</v>
      </c>
      <c r="B24" s="144" t="s">
        <v>198</v>
      </c>
      <c r="C24" s="145" t="s">
        <v>172</v>
      </c>
      <c r="D24" s="146" t="s">
        <v>12</v>
      </c>
      <c r="E24" s="147">
        <v>3</v>
      </c>
      <c r="F24" s="148">
        <f>TRUNC(G27,2)</f>
        <v>21.97</v>
      </c>
      <c r="G24" s="139">
        <f>TRUNC(F24*1.2247,2)</f>
        <v>26.9</v>
      </c>
      <c r="H24" s="139">
        <f>TRUNC(F24*E24,2)</f>
        <v>65.91</v>
      </c>
      <c r="I24" s="140">
        <f>TRUNC(E24*G24,2)</f>
        <v>80.7</v>
      </c>
      <c r="J24" s="66"/>
    </row>
    <row r="25" spans="1:10" s="65" customFormat="1" ht="14.25">
      <c r="A25" s="59"/>
      <c r="B25" s="60" t="s">
        <v>191</v>
      </c>
      <c r="C25" s="76" t="s">
        <v>192</v>
      </c>
      <c r="D25" s="61" t="s">
        <v>6</v>
      </c>
      <c r="E25" s="77">
        <v>1.03</v>
      </c>
      <c r="F25" s="62">
        <f>TRUNC(15.09,2)</f>
        <v>15.09</v>
      </c>
      <c r="G25" s="63">
        <f>TRUNC(E25*F25,2)</f>
        <v>15.54</v>
      </c>
      <c r="H25" s="63"/>
      <c r="I25" s="64"/>
      <c r="J25" s="66"/>
    </row>
    <row r="26" spans="1:10" s="65" customFormat="1" ht="14.25">
      <c r="A26" s="59"/>
      <c r="B26" s="60" t="s">
        <v>196</v>
      </c>
      <c r="C26" s="76" t="s">
        <v>197</v>
      </c>
      <c r="D26" s="61" t="s">
        <v>6</v>
      </c>
      <c r="E26" s="77">
        <v>0.309</v>
      </c>
      <c r="F26" s="62">
        <f>TRUNC(20.83,2)</f>
        <v>20.83</v>
      </c>
      <c r="G26" s="63">
        <f>TRUNC(E26*F26,2)</f>
        <v>6.43</v>
      </c>
      <c r="H26" s="63"/>
      <c r="I26" s="64"/>
      <c r="J26" s="66"/>
    </row>
    <row r="27" spans="1:10" s="65" customFormat="1" ht="14.25">
      <c r="A27" s="59"/>
      <c r="B27" s="60"/>
      <c r="C27" s="76"/>
      <c r="D27" s="61"/>
      <c r="E27" s="77" t="s">
        <v>7</v>
      </c>
      <c r="F27" s="62"/>
      <c r="G27" s="63">
        <f>TRUNC(SUM(G25:G26),2)</f>
        <v>21.97</v>
      </c>
      <c r="H27" s="63"/>
      <c r="I27" s="64"/>
      <c r="J27" s="66"/>
    </row>
    <row r="28" spans="1:10" s="65" customFormat="1" ht="42.75">
      <c r="A28" s="143" t="s">
        <v>11</v>
      </c>
      <c r="B28" s="144" t="s">
        <v>199</v>
      </c>
      <c r="C28" s="145" t="s">
        <v>174</v>
      </c>
      <c r="D28" s="146" t="s">
        <v>0</v>
      </c>
      <c r="E28" s="147">
        <v>94.14</v>
      </c>
      <c r="F28" s="148">
        <f>TRUNC(G31,2)</f>
        <v>13.5</v>
      </c>
      <c r="G28" s="139">
        <f>TRUNC(F28*1.2247,2)</f>
        <v>16.53</v>
      </c>
      <c r="H28" s="139">
        <f>TRUNC(F28*E28,2)</f>
        <v>1270.89</v>
      </c>
      <c r="I28" s="140">
        <f>TRUNC(E28*G28,2)</f>
        <v>1556.13</v>
      </c>
      <c r="J28" s="66"/>
    </row>
    <row r="29" spans="1:10" s="65" customFormat="1" ht="14.25">
      <c r="A29" s="59"/>
      <c r="B29" s="60" t="s">
        <v>191</v>
      </c>
      <c r="C29" s="76" t="s">
        <v>192</v>
      </c>
      <c r="D29" s="61" t="s">
        <v>6</v>
      </c>
      <c r="E29" s="77">
        <v>0.37595</v>
      </c>
      <c r="F29" s="62">
        <f>TRUNC(15.09,2)</f>
        <v>15.09</v>
      </c>
      <c r="G29" s="63">
        <f>TRUNC(E29*F29,2)</f>
        <v>5.67</v>
      </c>
      <c r="H29" s="63"/>
      <c r="I29" s="64"/>
      <c r="J29" s="66"/>
    </row>
    <row r="30" spans="1:10" s="65" customFormat="1" ht="14.25">
      <c r="A30" s="59"/>
      <c r="B30" s="60" t="s">
        <v>200</v>
      </c>
      <c r="C30" s="76" t="s">
        <v>201</v>
      </c>
      <c r="D30" s="61" t="s">
        <v>6</v>
      </c>
      <c r="E30" s="77">
        <v>0.37595</v>
      </c>
      <c r="F30" s="62">
        <f>TRUNC(20.83,2)</f>
        <v>20.83</v>
      </c>
      <c r="G30" s="63">
        <f>TRUNC(E30*F30,2)</f>
        <v>7.83</v>
      </c>
      <c r="H30" s="63"/>
      <c r="I30" s="64"/>
      <c r="J30" s="66"/>
    </row>
    <row r="31" spans="1:10" s="65" customFormat="1" ht="14.25">
      <c r="A31" s="59"/>
      <c r="B31" s="60"/>
      <c r="C31" s="76"/>
      <c r="D31" s="61"/>
      <c r="E31" s="77" t="s">
        <v>7</v>
      </c>
      <c r="F31" s="62"/>
      <c r="G31" s="63">
        <f>TRUNC(SUM(G29:G30),2)</f>
        <v>13.5</v>
      </c>
      <c r="H31" s="63"/>
      <c r="I31" s="64"/>
      <c r="J31" s="66"/>
    </row>
    <row r="32" spans="1:10" s="65" customFormat="1" ht="42.75">
      <c r="A32" s="143" t="s">
        <v>243</v>
      </c>
      <c r="B32" s="144" t="s">
        <v>202</v>
      </c>
      <c r="C32" s="145" t="s">
        <v>109</v>
      </c>
      <c r="D32" s="146" t="s">
        <v>0</v>
      </c>
      <c r="E32" s="147">
        <v>1.8</v>
      </c>
      <c r="F32" s="148">
        <f>TRUNC(G35,2)</f>
        <v>57.94</v>
      </c>
      <c r="G32" s="139">
        <f>TRUNC(F32*1.2247,2)</f>
        <v>70.95</v>
      </c>
      <c r="H32" s="139">
        <f>TRUNC(F32*E32,2)</f>
        <v>104.29</v>
      </c>
      <c r="I32" s="140">
        <f>TRUNC(E32*G32,2)</f>
        <v>127.71</v>
      </c>
      <c r="J32" s="66"/>
    </row>
    <row r="33" spans="1:10" s="65" customFormat="1" ht="14.25">
      <c r="A33" s="59"/>
      <c r="B33" s="60" t="s">
        <v>191</v>
      </c>
      <c r="C33" s="76" t="s">
        <v>192</v>
      </c>
      <c r="D33" s="61" t="s">
        <v>6</v>
      </c>
      <c r="E33" s="77">
        <v>1.545</v>
      </c>
      <c r="F33" s="62">
        <f>TRUNC(15.09,2)</f>
        <v>15.09</v>
      </c>
      <c r="G33" s="63">
        <f>TRUNC(E33*F33,2)</f>
        <v>23.31</v>
      </c>
      <c r="H33" s="63"/>
      <c r="I33" s="64"/>
      <c r="J33" s="66"/>
    </row>
    <row r="34" spans="1:10" s="65" customFormat="1" ht="14.25">
      <c r="A34" s="59"/>
      <c r="B34" s="60" t="s">
        <v>203</v>
      </c>
      <c r="C34" s="76" t="s">
        <v>204</v>
      </c>
      <c r="D34" s="61" t="s">
        <v>6</v>
      </c>
      <c r="E34" s="77">
        <v>1.545</v>
      </c>
      <c r="F34" s="62">
        <f>TRUNC(22.42,2)</f>
        <v>22.42</v>
      </c>
      <c r="G34" s="63">
        <f>TRUNC(E34*F34,2)</f>
        <v>34.63</v>
      </c>
      <c r="H34" s="63"/>
      <c r="I34" s="64"/>
      <c r="J34" s="66"/>
    </row>
    <row r="35" spans="1:10" s="65" customFormat="1" ht="14.25">
      <c r="A35" s="59"/>
      <c r="B35" s="60"/>
      <c r="C35" s="76"/>
      <c r="D35" s="61"/>
      <c r="E35" s="77" t="s">
        <v>7</v>
      </c>
      <c r="F35" s="62"/>
      <c r="G35" s="63">
        <f>TRUNC(SUM(G33:G34),2)</f>
        <v>57.94</v>
      </c>
      <c r="H35" s="63"/>
      <c r="I35" s="64"/>
      <c r="J35" s="66"/>
    </row>
    <row r="36" spans="1:9" s="44" customFormat="1" ht="15.75">
      <c r="A36" s="53" t="s">
        <v>44</v>
      </c>
      <c r="C36" s="54"/>
      <c r="D36" s="55"/>
      <c r="E36" s="55"/>
      <c r="F36" s="55"/>
      <c r="G36" s="55" t="s">
        <v>46</v>
      </c>
      <c r="H36" s="57">
        <f>H13+H20+H24+H28+H32</f>
        <v>2658.78</v>
      </c>
      <c r="I36" s="57">
        <f>I13+I20+I24+I28+I32</f>
        <v>3255.8</v>
      </c>
    </row>
    <row r="37" spans="1:9" s="43" customFormat="1" ht="15.75">
      <c r="A37" s="43" t="s">
        <v>16</v>
      </c>
      <c r="B37" s="51"/>
      <c r="C37" s="52" t="s">
        <v>98</v>
      </c>
      <c r="D37" s="52"/>
      <c r="E37" s="52"/>
      <c r="F37" s="52"/>
      <c r="G37" s="52"/>
      <c r="H37" s="52"/>
      <c r="I37" s="50"/>
    </row>
    <row r="38" spans="1:9" s="137" customFormat="1" ht="57">
      <c r="A38" s="137" t="s">
        <v>244</v>
      </c>
      <c r="B38" s="137" t="s">
        <v>205</v>
      </c>
      <c r="C38" s="137" t="s">
        <v>113</v>
      </c>
      <c r="D38" s="137" t="s">
        <v>0</v>
      </c>
      <c r="E38" s="137">
        <v>9.04</v>
      </c>
      <c r="F38" s="138">
        <f>TRUNC(G44,2)</f>
        <v>39.21</v>
      </c>
      <c r="G38" s="139">
        <f>TRUNC(F38*1.2247,2)</f>
        <v>48.02</v>
      </c>
      <c r="H38" s="139">
        <f>TRUNC(F38*E38,2)</f>
        <v>354.45</v>
      </c>
      <c r="I38" s="140">
        <f>TRUNC(E38*G38,2)</f>
        <v>434.1</v>
      </c>
    </row>
    <row r="39" spans="2:9" s="67" customFormat="1" ht="14.25">
      <c r="B39" s="67" t="s">
        <v>80</v>
      </c>
      <c r="C39" s="67" t="s">
        <v>81</v>
      </c>
      <c r="D39" s="67" t="s">
        <v>12</v>
      </c>
      <c r="E39" s="67">
        <v>17</v>
      </c>
      <c r="F39" s="68">
        <f>TRUNC(0.72,2)</f>
        <v>0.72</v>
      </c>
      <c r="G39" s="63">
        <f>TRUNC(E39*F39,2)</f>
        <v>12.24</v>
      </c>
      <c r="H39" s="63"/>
      <c r="I39" s="64"/>
    </row>
    <row r="40" spans="2:9" s="67" customFormat="1" ht="14.25">
      <c r="B40" s="67" t="s">
        <v>82</v>
      </c>
      <c r="C40" s="67" t="s">
        <v>83</v>
      </c>
      <c r="D40" s="67" t="s">
        <v>12</v>
      </c>
      <c r="E40" s="67">
        <v>1</v>
      </c>
      <c r="F40" s="68">
        <f>TRUNC(0.48,2)</f>
        <v>0.48</v>
      </c>
      <c r="G40" s="63">
        <f>TRUNC(E40*F40,2)</f>
        <v>0.48</v>
      </c>
      <c r="H40" s="63"/>
      <c r="I40" s="64"/>
    </row>
    <row r="41" spans="2:9" s="67" customFormat="1" ht="14.25">
      <c r="B41" s="67" t="s">
        <v>191</v>
      </c>
      <c r="C41" s="67" t="s">
        <v>192</v>
      </c>
      <c r="D41" s="67" t="s">
        <v>6</v>
      </c>
      <c r="E41" s="67">
        <v>0.41200000000000003</v>
      </c>
      <c r="F41" s="68">
        <f>TRUNC(15.09,2)</f>
        <v>15.09</v>
      </c>
      <c r="G41" s="63">
        <f>TRUNC(E41*F41,2)</f>
        <v>6.21</v>
      </c>
      <c r="H41" s="63"/>
      <c r="I41" s="64"/>
    </row>
    <row r="42" spans="2:9" s="67" customFormat="1" ht="14.25">
      <c r="B42" s="67" t="s">
        <v>196</v>
      </c>
      <c r="C42" s="67" t="s">
        <v>197</v>
      </c>
      <c r="D42" s="67" t="s">
        <v>6</v>
      </c>
      <c r="E42" s="67">
        <v>0.8343</v>
      </c>
      <c r="F42" s="68">
        <f>TRUNC(20.83,2)</f>
        <v>20.83</v>
      </c>
      <c r="G42" s="63">
        <f>TRUNC(E42*F42,2)</f>
        <v>17.37</v>
      </c>
      <c r="H42" s="63"/>
      <c r="I42" s="64"/>
    </row>
    <row r="43" spans="2:9" s="67" customFormat="1" ht="14.25">
      <c r="B43" s="67" t="s">
        <v>206</v>
      </c>
      <c r="C43" s="67" t="s">
        <v>207</v>
      </c>
      <c r="D43" s="67" t="s">
        <v>1</v>
      </c>
      <c r="E43" s="67">
        <v>0.01</v>
      </c>
      <c r="F43" s="68">
        <f>TRUNC(291.3115,2)</f>
        <v>291.31</v>
      </c>
      <c r="G43" s="63">
        <f>TRUNC(E43*F43,2)</f>
        <v>2.91</v>
      </c>
      <c r="H43" s="63"/>
      <c r="I43" s="64"/>
    </row>
    <row r="44" spans="5:9" s="67" customFormat="1" ht="14.25">
      <c r="E44" s="67" t="s">
        <v>7</v>
      </c>
      <c r="F44" s="68"/>
      <c r="G44" s="63">
        <f>TRUNC(SUM(G39:G43),2)</f>
        <v>39.21</v>
      </c>
      <c r="H44" s="63"/>
      <c r="I44" s="64"/>
    </row>
    <row r="45" spans="1:9" s="137" customFormat="1" ht="57">
      <c r="A45" s="137" t="s">
        <v>99</v>
      </c>
      <c r="B45" s="137" t="s">
        <v>208</v>
      </c>
      <c r="C45" s="137" t="s">
        <v>114</v>
      </c>
      <c r="D45" s="137" t="s">
        <v>0</v>
      </c>
      <c r="E45" s="137">
        <v>1.8</v>
      </c>
      <c r="F45" s="138">
        <f>TRUNC(G52,2)</f>
        <v>61.89</v>
      </c>
      <c r="G45" s="139">
        <f>TRUNC(F45*1.2247,2)</f>
        <v>75.79</v>
      </c>
      <c r="H45" s="139">
        <f>TRUNC(F45*E45,2)</f>
        <v>111.4</v>
      </c>
      <c r="I45" s="140">
        <f>TRUNC(E45*G45,2)</f>
        <v>136.42</v>
      </c>
    </row>
    <row r="46" spans="2:9" s="67" customFormat="1" ht="14.25">
      <c r="B46" s="67" t="s">
        <v>115</v>
      </c>
      <c r="C46" s="67" t="s">
        <v>116</v>
      </c>
      <c r="D46" s="67" t="s">
        <v>12</v>
      </c>
      <c r="E46" s="67">
        <v>0.32</v>
      </c>
      <c r="F46" s="68">
        <f>TRUNC(8.4,2)</f>
        <v>8.4</v>
      </c>
      <c r="G46" s="63">
        <f>TRUNC(E46*F46,2)</f>
        <v>2.68</v>
      </c>
      <c r="H46" s="63"/>
      <c r="I46" s="64"/>
    </row>
    <row r="47" spans="2:9" s="67" customFormat="1" ht="14.25">
      <c r="B47" s="67" t="s">
        <v>117</v>
      </c>
      <c r="C47" s="67" t="s">
        <v>118</v>
      </c>
      <c r="D47" s="67" t="s">
        <v>12</v>
      </c>
      <c r="E47" s="67">
        <v>0.2</v>
      </c>
      <c r="F47" s="68">
        <f>TRUNC(20,2)</f>
        <v>20</v>
      </c>
      <c r="G47" s="63">
        <f>TRUNC(E47*F47,2)</f>
        <v>4</v>
      </c>
      <c r="H47" s="63"/>
      <c r="I47" s="64"/>
    </row>
    <row r="48" spans="2:9" s="67" customFormat="1" ht="14.25">
      <c r="B48" s="67" t="s">
        <v>119</v>
      </c>
      <c r="C48" s="67" t="s">
        <v>120</v>
      </c>
      <c r="D48" s="67" t="s">
        <v>5</v>
      </c>
      <c r="E48" s="67">
        <v>32</v>
      </c>
      <c r="F48" s="68">
        <f>TRUNC(0.36,2)</f>
        <v>0.36</v>
      </c>
      <c r="G48" s="63">
        <f>TRUNC(E48*F48,2)</f>
        <v>11.52</v>
      </c>
      <c r="H48" s="63"/>
      <c r="I48" s="64"/>
    </row>
    <row r="49" spans="2:9" s="67" customFormat="1" ht="14.25">
      <c r="B49" s="67" t="s">
        <v>191</v>
      </c>
      <c r="C49" s="67" t="s">
        <v>192</v>
      </c>
      <c r="D49" s="67" t="s">
        <v>6</v>
      </c>
      <c r="E49" s="67">
        <v>1.03</v>
      </c>
      <c r="F49" s="68">
        <f>TRUNC(15.09,2)</f>
        <v>15.09</v>
      </c>
      <c r="G49" s="63">
        <f>TRUNC(E49*F49,2)</f>
        <v>15.54</v>
      </c>
      <c r="H49" s="63"/>
      <c r="I49" s="64"/>
    </row>
    <row r="50" spans="2:9" s="67" customFormat="1" ht="14.25">
      <c r="B50" s="67" t="s">
        <v>203</v>
      </c>
      <c r="C50" s="67" t="s">
        <v>204</v>
      </c>
      <c r="D50" s="67" t="s">
        <v>6</v>
      </c>
      <c r="E50" s="67">
        <v>1.03</v>
      </c>
      <c r="F50" s="68">
        <f>TRUNC(22.42,2)</f>
        <v>22.42</v>
      </c>
      <c r="G50" s="63">
        <f>TRUNC(E50*F50,2)</f>
        <v>23.09</v>
      </c>
      <c r="H50" s="63"/>
      <c r="I50" s="64"/>
    </row>
    <row r="51" spans="2:9" s="67" customFormat="1" ht="28.5">
      <c r="B51" s="67" t="s">
        <v>209</v>
      </c>
      <c r="C51" s="67" t="s">
        <v>210</v>
      </c>
      <c r="D51" s="67" t="s">
        <v>0</v>
      </c>
      <c r="E51" s="67">
        <v>1</v>
      </c>
      <c r="F51" s="68">
        <f>TRUNC(5.0618,2)</f>
        <v>5.06</v>
      </c>
      <c r="G51" s="63">
        <f>TRUNC(E51*F51,2)</f>
        <v>5.06</v>
      </c>
      <c r="H51" s="63"/>
      <c r="I51" s="64"/>
    </row>
    <row r="52" spans="5:9" s="67" customFormat="1" ht="14.25">
      <c r="E52" s="67" t="s">
        <v>7</v>
      </c>
      <c r="F52" s="68"/>
      <c r="G52" s="63">
        <f>TRUNC(SUM(G46:G51),2)</f>
        <v>61.89</v>
      </c>
      <c r="H52" s="63"/>
      <c r="I52" s="64"/>
    </row>
    <row r="53" spans="1:9" s="137" customFormat="1" ht="42.75">
      <c r="A53" s="137" t="s">
        <v>245</v>
      </c>
      <c r="B53" s="137" t="s">
        <v>211</v>
      </c>
      <c r="C53" s="137" t="s">
        <v>85</v>
      </c>
      <c r="D53" s="137" t="s">
        <v>0</v>
      </c>
      <c r="E53" s="137">
        <v>22.62</v>
      </c>
      <c r="F53" s="138">
        <f>TRUNC(G58,2)</f>
        <v>26.38</v>
      </c>
      <c r="G53" s="139">
        <f>TRUNC(F53*1.2247,2)</f>
        <v>32.3</v>
      </c>
      <c r="H53" s="139">
        <f>TRUNC(F53*E53,2)</f>
        <v>596.71</v>
      </c>
      <c r="I53" s="140">
        <f>TRUNC(E53*G53,2)</f>
        <v>730.62</v>
      </c>
    </row>
    <row r="54" spans="2:9" s="67" customFormat="1" ht="14.25">
      <c r="B54" s="67" t="s">
        <v>191</v>
      </c>
      <c r="C54" s="67" t="s">
        <v>192</v>
      </c>
      <c r="D54" s="67" t="s">
        <v>6</v>
      </c>
      <c r="E54" s="67">
        <v>0.41200000000000003</v>
      </c>
      <c r="F54" s="68">
        <f>TRUNC(15.09,2)</f>
        <v>15.09</v>
      </c>
      <c r="G54" s="63">
        <f>TRUNC(E54*F54,2)</f>
        <v>6.21</v>
      </c>
      <c r="H54" s="63"/>
      <c r="I54" s="64"/>
    </row>
    <row r="55" spans="2:9" s="67" customFormat="1" ht="14.25">
      <c r="B55" s="67" t="s">
        <v>196</v>
      </c>
      <c r="C55" s="67" t="s">
        <v>197</v>
      </c>
      <c r="D55" s="67" t="s">
        <v>6</v>
      </c>
      <c r="E55" s="67">
        <v>0.41200000000000003</v>
      </c>
      <c r="F55" s="68">
        <f>TRUNC(20.83,2)</f>
        <v>20.83</v>
      </c>
      <c r="G55" s="63">
        <f>TRUNC(E55*F55,2)</f>
        <v>8.58</v>
      </c>
      <c r="H55" s="63"/>
      <c r="I55" s="64"/>
    </row>
    <row r="56" spans="2:9" s="67" customFormat="1" ht="28.5">
      <c r="B56" s="67" t="s">
        <v>209</v>
      </c>
      <c r="C56" s="67" t="s">
        <v>210</v>
      </c>
      <c r="D56" s="67" t="s">
        <v>0</v>
      </c>
      <c r="E56" s="67">
        <v>1</v>
      </c>
      <c r="F56" s="68">
        <f>TRUNC(5.0618,2)</f>
        <v>5.06</v>
      </c>
      <c r="G56" s="63">
        <f>TRUNC(E56*F56,2)</f>
        <v>5.06</v>
      </c>
      <c r="H56" s="63"/>
      <c r="I56" s="64"/>
    </row>
    <row r="57" spans="2:9" s="67" customFormat="1" ht="14.25">
      <c r="B57" s="67" t="s">
        <v>212</v>
      </c>
      <c r="C57" s="67" t="s">
        <v>213</v>
      </c>
      <c r="D57" s="67" t="s">
        <v>1</v>
      </c>
      <c r="E57" s="67">
        <v>0.024</v>
      </c>
      <c r="F57" s="68">
        <f>TRUNC(272.453,2)</f>
        <v>272.45</v>
      </c>
      <c r="G57" s="63">
        <f>TRUNC(E57*F57,2)</f>
        <v>6.53</v>
      </c>
      <c r="H57" s="63"/>
      <c r="I57" s="64"/>
    </row>
    <row r="58" spans="5:9" s="67" customFormat="1" ht="14.25">
      <c r="E58" s="67" t="s">
        <v>7</v>
      </c>
      <c r="F58" s="68"/>
      <c r="G58" s="63">
        <f>TRUNC(SUM(G54:G57),2)</f>
        <v>26.38</v>
      </c>
      <c r="H58" s="63"/>
      <c r="I58" s="64"/>
    </row>
    <row r="59" spans="1:9" s="137" customFormat="1" ht="28.5">
      <c r="A59" s="137" t="s">
        <v>100</v>
      </c>
      <c r="B59" s="137" t="s">
        <v>281</v>
      </c>
      <c r="C59" s="137" t="s">
        <v>175</v>
      </c>
      <c r="D59" s="137" t="s">
        <v>3</v>
      </c>
      <c r="E59" s="137">
        <v>6</v>
      </c>
      <c r="F59" s="138">
        <f>TRUNC(G68,2)</f>
        <v>55.3</v>
      </c>
      <c r="G59" s="139">
        <f>TRUNC(F59*1.2247,2)</f>
        <v>67.72</v>
      </c>
      <c r="H59" s="139">
        <f>TRUNC(F59*E59,2)</f>
        <v>331.8</v>
      </c>
      <c r="I59" s="140">
        <f>TRUNC(E59*G59,2)</f>
        <v>406.32</v>
      </c>
    </row>
    <row r="60" spans="2:9" s="67" customFormat="1" ht="28.5">
      <c r="B60" s="67" t="s">
        <v>282</v>
      </c>
      <c r="C60" s="67" t="s">
        <v>176</v>
      </c>
      <c r="D60" s="67" t="s">
        <v>12</v>
      </c>
      <c r="E60" s="67">
        <v>6</v>
      </c>
      <c r="F60" s="68">
        <f>TRUNC(0.25,2)</f>
        <v>0.25</v>
      </c>
      <c r="G60" s="63">
        <f>TRUNC(E60*F60,2)</f>
        <v>1.5</v>
      </c>
      <c r="H60" s="63"/>
      <c r="I60" s="64"/>
    </row>
    <row r="61" spans="2:9" s="67" customFormat="1" ht="28.5">
      <c r="B61" s="67" t="s">
        <v>283</v>
      </c>
      <c r="C61" s="67" t="s">
        <v>177</v>
      </c>
      <c r="D61" s="67" t="s">
        <v>3</v>
      </c>
      <c r="E61" s="67">
        <v>0.22</v>
      </c>
      <c r="F61" s="68">
        <f>TRUNC(4.08,2)</f>
        <v>4.08</v>
      </c>
      <c r="G61" s="63">
        <f>TRUNC(E61*F61,2)</f>
        <v>0.89</v>
      </c>
      <c r="H61" s="63"/>
      <c r="I61" s="64"/>
    </row>
    <row r="62" spans="2:9" s="67" customFormat="1" ht="28.5">
      <c r="B62" s="67" t="s">
        <v>284</v>
      </c>
      <c r="C62" s="67" t="s">
        <v>178</v>
      </c>
      <c r="D62" s="67" t="s">
        <v>108</v>
      </c>
      <c r="E62" s="67">
        <v>0.007</v>
      </c>
      <c r="F62" s="68">
        <f>TRUNC(6.39,2)</f>
        <v>6.39</v>
      </c>
      <c r="G62" s="63">
        <f>TRUNC(E62*F62,2)</f>
        <v>0.04</v>
      </c>
      <c r="H62" s="63"/>
      <c r="I62" s="64"/>
    </row>
    <row r="63" spans="2:9" s="67" customFormat="1" ht="14.25">
      <c r="B63" s="67" t="s">
        <v>285</v>
      </c>
      <c r="C63" s="67" t="s">
        <v>71</v>
      </c>
      <c r="D63" s="67" t="s">
        <v>6</v>
      </c>
      <c r="E63" s="67">
        <v>0.18</v>
      </c>
      <c r="F63" s="68">
        <f>TRUNC(21.86,2)</f>
        <v>21.86</v>
      </c>
      <c r="G63" s="63">
        <f>TRUNC(E63*F63,2)</f>
        <v>3.93</v>
      </c>
      <c r="H63" s="63"/>
      <c r="I63" s="64"/>
    </row>
    <row r="64" spans="2:9" s="67" customFormat="1" ht="14.25">
      <c r="B64" s="67" t="s">
        <v>286</v>
      </c>
      <c r="C64" s="67" t="s">
        <v>79</v>
      </c>
      <c r="D64" s="67" t="s">
        <v>6</v>
      </c>
      <c r="E64" s="67">
        <v>0.36</v>
      </c>
      <c r="F64" s="68">
        <f>TRUNC(28,2)</f>
        <v>28</v>
      </c>
      <c r="G64" s="63">
        <f>TRUNC(E64*F64,2)</f>
        <v>10.08</v>
      </c>
      <c r="H64" s="63"/>
      <c r="I64" s="64"/>
    </row>
    <row r="65" spans="2:9" s="67" customFormat="1" ht="28.5">
      <c r="B65" s="67" t="s">
        <v>287</v>
      </c>
      <c r="C65" s="67" t="s">
        <v>288</v>
      </c>
      <c r="D65" s="67" t="s">
        <v>1</v>
      </c>
      <c r="E65" s="67">
        <v>0.024</v>
      </c>
      <c r="F65" s="68">
        <f>TRUNC(276.92,2)</f>
        <v>276.92</v>
      </c>
      <c r="G65" s="63">
        <f>TRUNC(E65*F65,2)</f>
        <v>6.64</v>
      </c>
      <c r="H65" s="63"/>
      <c r="I65" s="64"/>
    </row>
    <row r="66" spans="2:9" s="67" customFormat="1" ht="28.5">
      <c r="B66" s="67" t="s">
        <v>289</v>
      </c>
      <c r="C66" s="67" t="s">
        <v>290</v>
      </c>
      <c r="D66" s="67" t="s">
        <v>5</v>
      </c>
      <c r="E66" s="67">
        <v>0.79</v>
      </c>
      <c r="F66" s="68">
        <f>TRUNC(7.12,2)</f>
        <v>7.12</v>
      </c>
      <c r="G66" s="63">
        <f>TRUNC(E66*F66,2)</f>
        <v>5.62</v>
      </c>
      <c r="H66" s="63"/>
      <c r="I66" s="64"/>
    </row>
    <row r="67" spans="2:9" s="67" customFormat="1" ht="28.5">
      <c r="B67" s="67" t="s">
        <v>291</v>
      </c>
      <c r="C67" s="67" t="s">
        <v>292</v>
      </c>
      <c r="D67" s="67" t="s">
        <v>0</v>
      </c>
      <c r="E67" s="67">
        <v>0.4</v>
      </c>
      <c r="F67" s="68">
        <f>TRUNC(66.52,2)</f>
        <v>66.52</v>
      </c>
      <c r="G67" s="63">
        <f>TRUNC(E67*F67,2)</f>
        <v>26.6</v>
      </c>
      <c r="H67" s="63"/>
      <c r="I67" s="64"/>
    </row>
    <row r="68" spans="5:9" s="67" customFormat="1" ht="14.25">
      <c r="E68" s="67" t="s">
        <v>7</v>
      </c>
      <c r="F68" s="68"/>
      <c r="G68" s="63">
        <f>TRUNC(SUM(G60:G67),2)</f>
        <v>55.3</v>
      </c>
      <c r="H68" s="63"/>
      <c r="I68" s="64"/>
    </row>
    <row r="69" spans="1:9" s="137" customFormat="1" ht="42.75">
      <c r="A69" s="137" t="s">
        <v>246</v>
      </c>
      <c r="B69" s="137" t="s">
        <v>214</v>
      </c>
      <c r="C69" s="137" t="s">
        <v>180</v>
      </c>
      <c r="D69" s="137" t="s">
        <v>3</v>
      </c>
      <c r="E69" s="137">
        <v>6</v>
      </c>
      <c r="F69" s="138">
        <f>TRUNC(G76,2)</f>
        <v>80.52</v>
      </c>
      <c r="G69" s="139">
        <f>TRUNC(F69*1.2247,2)</f>
        <v>98.61</v>
      </c>
      <c r="H69" s="139">
        <f>TRUNC(F69*E69,2)</f>
        <v>483.12</v>
      </c>
      <c r="I69" s="140">
        <f>TRUNC(E69*G69,2)</f>
        <v>591.66</v>
      </c>
    </row>
    <row r="70" spans="2:9" s="67" customFormat="1" ht="14.25">
      <c r="B70" s="67" t="s">
        <v>181</v>
      </c>
      <c r="C70" s="67" t="s">
        <v>182</v>
      </c>
      <c r="D70" s="67" t="s">
        <v>0</v>
      </c>
      <c r="E70" s="67">
        <v>0.22</v>
      </c>
      <c r="F70" s="68">
        <f>TRUNC(267,2)</f>
        <v>267</v>
      </c>
      <c r="G70" s="63">
        <f>TRUNC(E70*F70,2)</f>
        <v>58.74</v>
      </c>
      <c r="H70" s="63"/>
      <c r="I70" s="64"/>
    </row>
    <row r="71" spans="2:9" s="67" customFormat="1" ht="14.25">
      <c r="B71" s="67" t="s">
        <v>111</v>
      </c>
      <c r="C71" s="67" t="s">
        <v>112</v>
      </c>
      <c r="D71" s="67" t="s">
        <v>5</v>
      </c>
      <c r="E71" s="67">
        <v>0.4</v>
      </c>
      <c r="F71" s="68">
        <f>TRUNC(1.44,2)</f>
        <v>1.44</v>
      </c>
      <c r="G71" s="63">
        <f>TRUNC(E71*F71,2)</f>
        <v>0.57</v>
      </c>
      <c r="H71" s="63"/>
      <c r="I71" s="64"/>
    </row>
    <row r="72" spans="2:9" s="67" customFormat="1" ht="14.25">
      <c r="B72" s="67" t="s">
        <v>191</v>
      </c>
      <c r="C72" s="67" t="s">
        <v>192</v>
      </c>
      <c r="D72" s="67" t="s">
        <v>6</v>
      </c>
      <c r="E72" s="67">
        <v>0.5665000000000001</v>
      </c>
      <c r="F72" s="68">
        <f>TRUNC(15.09,2)</f>
        <v>15.09</v>
      </c>
      <c r="G72" s="63">
        <f>TRUNC(E72*F72,2)</f>
        <v>8.54</v>
      </c>
      <c r="H72" s="63"/>
      <c r="I72" s="64"/>
    </row>
    <row r="73" spans="2:9" s="67" customFormat="1" ht="14.25">
      <c r="B73" s="67" t="s">
        <v>215</v>
      </c>
      <c r="C73" s="67" t="s">
        <v>216</v>
      </c>
      <c r="D73" s="67" t="s">
        <v>6</v>
      </c>
      <c r="E73" s="67">
        <v>0.4635</v>
      </c>
      <c r="F73" s="68">
        <f>TRUNC(20.83,2)</f>
        <v>20.83</v>
      </c>
      <c r="G73" s="63">
        <f>TRUNC(E73*F73,2)</f>
        <v>9.65</v>
      </c>
      <c r="H73" s="63"/>
      <c r="I73" s="64"/>
    </row>
    <row r="74" spans="2:9" s="67" customFormat="1" ht="14.25">
      <c r="B74" s="67" t="s">
        <v>217</v>
      </c>
      <c r="C74" s="67" t="s">
        <v>218</v>
      </c>
      <c r="D74" s="67" t="s">
        <v>1</v>
      </c>
      <c r="E74" s="67">
        <v>0.008</v>
      </c>
      <c r="F74" s="68">
        <f>TRUNC(337.0372,2)</f>
        <v>337.03</v>
      </c>
      <c r="G74" s="63">
        <f>TRUNC(E74*F74,2)</f>
        <v>2.69</v>
      </c>
      <c r="H74" s="63"/>
      <c r="I74" s="64"/>
    </row>
    <row r="75" spans="2:9" s="67" customFormat="1" ht="14.25">
      <c r="B75" s="67" t="s">
        <v>219</v>
      </c>
      <c r="C75" s="67" t="s">
        <v>220</v>
      </c>
      <c r="D75" s="67" t="s">
        <v>1</v>
      </c>
      <c r="E75" s="67">
        <v>0.0006</v>
      </c>
      <c r="F75" s="68">
        <f>TRUNC(561.1343,2)</f>
        <v>561.13</v>
      </c>
      <c r="G75" s="63">
        <f>TRUNC(E75*F75,2)</f>
        <v>0.33</v>
      </c>
      <c r="H75" s="63"/>
      <c r="I75" s="64"/>
    </row>
    <row r="76" spans="5:9" s="67" customFormat="1" ht="14.25">
      <c r="E76" s="67" t="s">
        <v>7</v>
      </c>
      <c r="F76" s="68"/>
      <c r="G76" s="63">
        <f>TRUNC(SUM(G70:G75),2)</f>
        <v>80.52</v>
      </c>
      <c r="H76" s="63"/>
      <c r="I76" s="64"/>
    </row>
    <row r="77" spans="1:9" s="44" customFormat="1" ht="15.75">
      <c r="A77" s="53" t="s">
        <v>44</v>
      </c>
      <c r="B77" s="55"/>
      <c r="C77" s="54"/>
      <c r="D77" s="55"/>
      <c r="E77" s="55"/>
      <c r="F77" s="55"/>
      <c r="G77" s="55" t="s">
        <v>73</v>
      </c>
      <c r="H77" s="56">
        <f>H38+H45+H53+H59+H69</f>
        <v>1877.48</v>
      </c>
      <c r="I77" s="56">
        <f>I38+I45+I53+I59+I69</f>
        <v>2299.12</v>
      </c>
    </row>
    <row r="78" spans="1:9" s="43" customFormat="1" ht="15.75">
      <c r="A78" s="43" t="s">
        <v>17</v>
      </c>
      <c r="B78" s="51"/>
      <c r="C78" s="52" t="s">
        <v>170</v>
      </c>
      <c r="D78" s="52"/>
      <c r="E78" s="52"/>
      <c r="F78" s="52"/>
      <c r="G78" s="52"/>
      <c r="H78" s="52"/>
      <c r="I78" s="50"/>
    </row>
    <row r="79" spans="1:9" s="137" customFormat="1" ht="28.5">
      <c r="A79" s="137" t="s">
        <v>247</v>
      </c>
      <c r="B79" s="137" t="s">
        <v>293</v>
      </c>
      <c r="C79" s="137" t="s">
        <v>183</v>
      </c>
      <c r="D79" s="137" t="s">
        <v>0</v>
      </c>
      <c r="E79" s="137">
        <v>4.8</v>
      </c>
      <c r="F79" s="138">
        <f>TRUNC(G85,2)</f>
        <v>282.63</v>
      </c>
      <c r="G79" s="139">
        <f>TRUNC(F79*1.2247,2)</f>
        <v>346.13</v>
      </c>
      <c r="H79" s="139">
        <f>TRUNC(F79*E79,2)</f>
        <v>1356.62</v>
      </c>
      <c r="I79" s="140">
        <f>TRUNC(E79*G79,2)</f>
        <v>1661.42</v>
      </c>
    </row>
    <row r="80" spans="2:9" s="67" customFormat="1" ht="14.25">
      <c r="B80" s="67" t="s">
        <v>294</v>
      </c>
      <c r="C80" s="67" t="s">
        <v>184</v>
      </c>
      <c r="D80" s="67" t="s">
        <v>12</v>
      </c>
      <c r="E80" s="67">
        <v>0.56</v>
      </c>
      <c r="F80" s="68">
        <f>TRUNC(11.63,2)</f>
        <v>11.63</v>
      </c>
      <c r="G80" s="63">
        <f>TRUNC(E80*F80,2)</f>
        <v>6.51</v>
      </c>
      <c r="H80" s="63"/>
      <c r="I80" s="64"/>
    </row>
    <row r="81" spans="2:9" s="67" customFormat="1" ht="42.75">
      <c r="B81" s="67" t="s">
        <v>295</v>
      </c>
      <c r="C81" s="67" t="s">
        <v>185</v>
      </c>
      <c r="D81" s="67" t="s">
        <v>12</v>
      </c>
      <c r="E81" s="67">
        <v>0.556</v>
      </c>
      <c r="F81" s="68">
        <f>TRUNC(427.72,2)</f>
        <v>427.72</v>
      </c>
      <c r="G81" s="63">
        <f>TRUNC(E81*F81,2)</f>
        <v>237.81</v>
      </c>
      <c r="H81" s="63"/>
      <c r="I81" s="64"/>
    </row>
    <row r="82" spans="2:9" s="67" customFormat="1" ht="28.5">
      <c r="B82" s="67" t="s">
        <v>296</v>
      </c>
      <c r="C82" s="67" t="s">
        <v>186</v>
      </c>
      <c r="D82" s="67" t="s">
        <v>12</v>
      </c>
      <c r="E82" s="67">
        <v>7.3</v>
      </c>
      <c r="F82" s="68">
        <f>TRUNC(0.13,2)</f>
        <v>0.13</v>
      </c>
      <c r="G82" s="63">
        <f>TRUNC(E82*F82,2)</f>
        <v>0.94</v>
      </c>
      <c r="H82" s="63"/>
      <c r="I82" s="64"/>
    </row>
    <row r="83" spans="2:9" s="67" customFormat="1" ht="14.25">
      <c r="B83" s="67" t="s">
        <v>285</v>
      </c>
      <c r="C83" s="67" t="s">
        <v>71</v>
      </c>
      <c r="D83" s="67" t="s">
        <v>6</v>
      </c>
      <c r="E83" s="67">
        <v>0.48</v>
      </c>
      <c r="F83" s="68">
        <f>TRUNC(21.86,2)</f>
        <v>21.86</v>
      </c>
      <c r="G83" s="63">
        <f>TRUNC(E83*F83,2)</f>
        <v>10.49</v>
      </c>
      <c r="H83" s="63"/>
      <c r="I83" s="64"/>
    </row>
    <row r="84" spans="2:9" s="67" customFormat="1" ht="14.25">
      <c r="B84" s="67" t="s">
        <v>286</v>
      </c>
      <c r="C84" s="67" t="s">
        <v>79</v>
      </c>
      <c r="D84" s="67" t="s">
        <v>6</v>
      </c>
      <c r="E84" s="67">
        <v>0.96</v>
      </c>
      <c r="F84" s="68">
        <f>TRUNC(28,2)</f>
        <v>28</v>
      </c>
      <c r="G84" s="63">
        <f>TRUNC(E84*F84,2)</f>
        <v>26.88</v>
      </c>
      <c r="H84" s="63"/>
      <c r="I84" s="64"/>
    </row>
    <row r="85" spans="5:9" s="67" customFormat="1" ht="14.25">
      <c r="E85" s="67" t="s">
        <v>7</v>
      </c>
      <c r="F85" s="68"/>
      <c r="G85" s="63">
        <f>TRUNC(SUM(G80:G84),2)</f>
        <v>282.63</v>
      </c>
      <c r="H85" s="63"/>
      <c r="I85" s="64"/>
    </row>
    <row r="86" spans="1:9" s="44" customFormat="1" ht="15.75">
      <c r="A86" s="53" t="s">
        <v>44</v>
      </c>
      <c r="B86" s="55"/>
      <c r="C86" s="54"/>
      <c r="D86" s="55"/>
      <c r="E86" s="55"/>
      <c r="F86" s="55"/>
      <c r="G86" s="55" t="s">
        <v>45</v>
      </c>
      <c r="H86" s="58">
        <f>H79</f>
        <v>1356.62</v>
      </c>
      <c r="I86" s="58">
        <f>I79</f>
        <v>1661.42</v>
      </c>
    </row>
    <row r="87" spans="1:9" s="43" customFormat="1" ht="15.75">
      <c r="A87" s="43" t="s">
        <v>18</v>
      </c>
      <c r="B87" s="51"/>
      <c r="C87" s="52" t="s">
        <v>263</v>
      </c>
      <c r="D87" s="52"/>
      <c r="E87" s="52"/>
      <c r="F87" s="52"/>
      <c r="G87" s="52"/>
      <c r="H87" s="52"/>
      <c r="I87" s="50"/>
    </row>
    <row r="88" spans="1:9" s="137" customFormat="1" ht="71.25">
      <c r="A88" s="137" t="s">
        <v>13</v>
      </c>
      <c r="B88" s="137" t="s">
        <v>221</v>
      </c>
      <c r="C88" s="137" t="s">
        <v>95</v>
      </c>
      <c r="D88" s="137" t="s">
        <v>0</v>
      </c>
      <c r="E88" s="137">
        <v>59.69</v>
      </c>
      <c r="F88" s="138">
        <f>TRUNC(G94,2)</f>
        <v>15.22</v>
      </c>
      <c r="G88" s="139">
        <f>TRUNC(F88*1.2247,2)</f>
        <v>18.63</v>
      </c>
      <c r="H88" s="139">
        <f>TRUNC(F88*E88,2)</f>
        <v>908.48</v>
      </c>
      <c r="I88" s="140">
        <f>TRUNC(E88*G88,2)</f>
        <v>1112.02</v>
      </c>
    </row>
    <row r="89" spans="2:9" s="67" customFormat="1" ht="14.25">
      <c r="B89" s="67" t="s">
        <v>90</v>
      </c>
      <c r="C89" s="67" t="s">
        <v>91</v>
      </c>
      <c r="D89" s="67" t="s">
        <v>12</v>
      </c>
      <c r="E89" s="67">
        <v>0.5</v>
      </c>
      <c r="F89" s="68">
        <f>TRUNC(0.69,2)</f>
        <v>0.69</v>
      </c>
      <c r="G89" s="63">
        <f>TRUNC(E89*F89,2)</f>
        <v>0.34</v>
      </c>
      <c r="H89" s="63"/>
      <c r="I89" s="64"/>
    </row>
    <row r="90" spans="2:9" s="67" customFormat="1" ht="14.25">
      <c r="B90" s="67" t="s">
        <v>92</v>
      </c>
      <c r="C90" s="67" t="s">
        <v>93</v>
      </c>
      <c r="D90" s="67" t="s">
        <v>43</v>
      </c>
      <c r="E90" s="67">
        <v>0.04</v>
      </c>
      <c r="F90" s="68">
        <f>TRUNC(14.51,2)</f>
        <v>14.51</v>
      </c>
      <c r="G90" s="63">
        <f>TRUNC(E90*F90,2)</f>
        <v>0.58</v>
      </c>
      <c r="H90" s="63"/>
      <c r="I90" s="64"/>
    </row>
    <row r="91" spans="2:9" s="67" customFormat="1" ht="28.5">
      <c r="B91" s="67" t="s">
        <v>96</v>
      </c>
      <c r="C91" s="67" t="s">
        <v>97</v>
      </c>
      <c r="D91" s="67" t="s">
        <v>12</v>
      </c>
      <c r="E91" s="67">
        <v>0.012</v>
      </c>
      <c r="F91" s="68">
        <f>TRUNC(341.42,2)</f>
        <v>341.42</v>
      </c>
      <c r="G91" s="63">
        <f>TRUNC(E91*F91,2)</f>
        <v>4.09</v>
      </c>
      <c r="H91" s="63"/>
      <c r="I91" s="64"/>
    </row>
    <row r="92" spans="2:9" s="67" customFormat="1" ht="14.25">
      <c r="B92" s="67" t="s">
        <v>191</v>
      </c>
      <c r="C92" s="67" t="s">
        <v>192</v>
      </c>
      <c r="D92" s="67" t="s">
        <v>6</v>
      </c>
      <c r="E92" s="67">
        <v>0.18025</v>
      </c>
      <c r="F92" s="68">
        <f>TRUNC(15.09,2)</f>
        <v>15.09</v>
      </c>
      <c r="G92" s="63">
        <f>TRUNC(E92*F92,2)</f>
        <v>2.71</v>
      </c>
      <c r="H92" s="63"/>
      <c r="I92" s="64"/>
    </row>
    <row r="93" spans="2:9" s="67" customFormat="1" ht="14.25">
      <c r="B93" s="67" t="s">
        <v>222</v>
      </c>
      <c r="C93" s="67" t="s">
        <v>223</v>
      </c>
      <c r="D93" s="67" t="s">
        <v>6</v>
      </c>
      <c r="E93" s="67">
        <v>0.3605</v>
      </c>
      <c r="F93" s="68">
        <f>TRUNC(20.83,2)</f>
        <v>20.83</v>
      </c>
      <c r="G93" s="63">
        <f>TRUNC(E93*F93,2)</f>
        <v>7.5</v>
      </c>
      <c r="H93" s="63"/>
      <c r="I93" s="64"/>
    </row>
    <row r="94" spans="5:9" s="67" customFormat="1" ht="14.25">
      <c r="E94" s="67" t="s">
        <v>7</v>
      </c>
      <c r="F94" s="68"/>
      <c r="G94" s="63">
        <f>TRUNC(SUM(G89:G93),2)</f>
        <v>15.22</v>
      </c>
      <c r="H94" s="63"/>
      <c r="I94" s="64"/>
    </row>
    <row r="95" spans="1:9" s="44" customFormat="1" ht="15.75">
      <c r="A95" s="53" t="s">
        <v>44</v>
      </c>
      <c r="B95" s="55"/>
      <c r="C95" s="54"/>
      <c r="D95" s="55"/>
      <c r="E95" s="55"/>
      <c r="F95" s="55" t="s">
        <v>47</v>
      </c>
      <c r="G95" s="55"/>
      <c r="H95" s="57">
        <f>H88</f>
        <v>908.48</v>
      </c>
      <c r="I95" s="57">
        <f>I88</f>
        <v>1112.02</v>
      </c>
    </row>
    <row r="96" spans="1:9" s="43" customFormat="1" ht="15.75">
      <c r="A96" s="43" t="s">
        <v>19</v>
      </c>
      <c r="B96" s="51"/>
      <c r="C96" s="52" t="s">
        <v>124</v>
      </c>
      <c r="D96" s="52"/>
      <c r="E96" s="52"/>
      <c r="F96" s="52"/>
      <c r="G96" s="52"/>
      <c r="H96" s="52"/>
      <c r="I96" s="50"/>
    </row>
    <row r="97" spans="1:9" s="137" customFormat="1" ht="42.75">
      <c r="A97" s="137" t="s">
        <v>248</v>
      </c>
      <c r="B97" s="137" t="s">
        <v>297</v>
      </c>
      <c r="C97" s="137" t="s">
        <v>298</v>
      </c>
      <c r="D97" s="137" t="s">
        <v>0</v>
      </c>
      <c r="E97" s="137">
        <v>100.5</v>
      </c>
      <c r="F97" s="138">
        <f>TRUNC(G105,2)</f>
        <v>39.89</v>
      </c>
      <c r="G97" s="139">
        <f>TRUNC(F97*1.2247,2)</f>
        <v>48.85</v>
      </c>
      <c r="H97" s="139">
        <f>TRUNC(F97*E97,2)</f>
        <v>4008.94</v>
      </c>
      <c r="I97" s="140">
        <f>TRUNC(E97*G97,2)</f>
        <v>4909.42</v>
      </c>
    </row>
    <row r="98" spans="2:9" s="67" customFormat="1" ht="14.25">
      <c r="B98" s="67" t="s">
        <v>299</v>
      </c>
      <c r="C98" s="67" t="s">
        <v>269</v>
      </c>
      <c r="D98" s="67" t="s">
        <v>0</v>
      </c>
      <c r="E98" s="67">
        <v>1.275</v>
      </c>
      <c r="F98" s="68">
        <f>TRUNC(22.81,2)</f>
        <v>22.81</v>
      </c>
      <c r="G98" s="63">
        <f>TRUNC(E98*F98,2)</f>
        <v>29.08</v>
      </c>
      <c r="H98" s="63"/>
      <c r="I98" s="64"/>
    </row>
    <row r="99" spans="2:9" s="67" customFormat="1" ht="28.5">
      <c r="B99" s="67" t="s">
        <v>300</v>
      </c>
      <c r="C99" s="67" t="s">
        <v>270</v>
      </c>
      <c r="D99" s="67" t="s">
        <v>12</v>
      </c>
      <c r="E99" s="67">
        <v>1.27</v>
      </c>
      <c r="F99" s="68">
        <f>TRUNC(3.22,2)</f>
        <v>3.22</v>
      </c>
      <c r="G99" s="63">
        <f>TRUNC(E99*F99,2)</f>
        <v>4.08</v>
      </c>
      <c r="H99" s="63"/>
      <c r="I99" s="64"/>
    </row>
    <row r="100" spans="2:9" s="67" customFormat="1" ht="28.5">
      <c r="B100" s="67" t="s">
        <v>301</v>
      </c>
      <c r="C100" s="67" t="s">
        <v>271</v>
      </c>
      <c r="D100" s="67" t="s">
        <v>272</v>
      </c>
      <c r="E100" s="67">
        <v>1.27</v>
      </c>
      <c r="F100" s="68">
        <f>TRUNC(0.21,2)</f>
        <v>0.21</v>
      </c>
      <c r="G100" s="63">
        <f>TRUNC(E100*F100,2)</f>
        <v>0.26</v>
      </c>
      <c r="H100" s="63"/>
      <c r="I100" s="64"/>
    </row>
    <row r="101" spans="2:9" s="67" customFormat="1" ht="14.25">
      <c r="B101" s="67" t="s">
        <v>302</v>
      </c>
      <c r="C101" s="67" t="s">
        <v>273</v>
      </c>
      <c r="D101" s="67" t="s">
        <v>6</v>
      </c>
      <c r="E101" s="67">
        <v>0.115</v>
      </c>
      <c r="F101" s="68">
        <f>TRUNC(25.04,2)</f>
        <v>25.04</v>
      </c>
      <c r="G101" s="63">
        <f>TRUNC(E101*F101,2)</f>
        <v>2.87</v>
      </c>
      <c r="H101" s="63"/>
      <c r="I101" s="64"/>
    </row>
    <row r="102" spans="2:9" s="67" customFormat="1" ht="14.25">
      <c r="B102" s="67" t="s">
        <v>285</v>
      </c>
      <c r="C102" s="67" t="s">
        <v>71</v>
      </c>
      <c r="D102" s="67" t="s">
        <v>6</v>
      </c>
      <c r="E102" s="67">
        <v>0.15</v>
      </c>
      <c r="F102" s="68">
        <f>TRUNC(21.86,2)</f>
        <v>21.86</v>
      </c>
      <c r="G102" s="63">
        <f>TRUNC(E102*F102,2)</f>
        <v>3.27</v>
      </c>
      <c r="H102" s="63"/>
      <c r="I102" s="64"/>
    </row>
    <row r="103" spans="2:9" s="67" customFormat="1" ht="28.5">
      <c r="B103" s="67" t="s">
        <v>303</v>
      </c>
      <c r="C103" s="67" t="s">
        <v>304</v>
      </c>
      <c r="D103" s="67" t="s">
        <v>274</v>
      </c>
      <c r="E103" s="67">
        <v>0.0069</v>
      </c>
      <c r="F103" s="68">
        <f>TRUNC(28.75,2)</f>
        <v>28.75</v>
      </c>
      <c r="G103" s="63">
        <f>TRUNC(E103*F103,2)</f>
        <v>0.19</v>
      </c>
      <c r="H103" s="63"/>
      <c r="I103" s="64"/>
    </row>
    <row r="104" spans="2:9" s="67" customFormat="1" ht="28.5">
      <c r="B104" s="67" t="s">
        <v>305</v>
      </c>
      <c r="C104" s="67" t="s">
        <v>306</v>
      </c>
      <c r="D104" s="67" t="s">
        <v>275</v>
      </c>
      <c r="E104" s="67">
        <v>0.005</v>
      </c>
      <c r="F104" s="68">
        <f>TRUNC(29.44,2)</f>
        <v>29.44</v>
      </c>
      <c r="G104" s="63">
        <f>TRUNC(E104*F104,2)</f>
        <v>0.14</v>
      </c>
      <c r="H104" s="63"/>
      <c r="I104" s="64"/>
    </row>
    <row r="105" spans="5:9" s="67" customFormat="1" ht="14.25">
      <c r="E105" s="67" t="s">
        <v>7</v>
      </c>
      <c r="F105" s="68"/>
      <c r="G105" s="63">
        <f>TRUNC(SUM(G98:G104),2)</f>
        <v>39.89</v>
      </c>
      <c r="H105" s="63"/>
      <c r="I105" s="64"/>
    </row>
    <row r="106" spans="1:9" s="141" customFormat="1" ht="42.75">
      <c r="A106" s="141" t="s">
        <v>249</v>
      </c>
      <c r="B106" s="141" t="s">
        <v>224</v>
      </c>
      <c r="C106" s="141" t="s">
        <v>125</v>
      </c>
      <c r="D106" s="141" t="s">
        <v>0</v>
      </c>
      <c r="E106" s="141">
        <v>100.5</v>
      </c>
      <c r="F106" s="142">
        <f>TRUNC(G112,2)</f>
        <v>27.85</v>
      </c>
      <c r="G106" s="139">
        <f>TRUNC(F106*1.2247,2)</f>
        <v>34.1</v>
      </c>
      <c r="H106" s="139">
        <f>TRUNC(F106*E106,2)</f>
        <v>2798.92</v>
      </c>
      <c r="I106" s="140">
        <f>TRUNC(E106*G106,2)</f>
        <v>3427.05</v>
      </c>
    </row>
    <row r="107" spans="2:9" s="78" customFormat="1" ht="14.25">
      <c r="B107" s="78" t="s">
        <v>126</v>
      </c>
      <c r="C107" s="78" t="s">
        <v>127</v>
      </c>
      <c r="D107" s="78" t="s">
        <v>3</v>
      </c>
      <c r="E107" s="78">
        <v>0.175</v>
      </c>
      <c r="F107" s="79">
        <f>TRUNC(12,2)</f>
        <v>12</v>
      </c>
      <c r="G107" s="63">
        <f>TRUNC(E107*F107,2)</f>
        <v>2.1</v>
      </c>
      <c r="H107" s="80"/>
      <c r="I107" s="81"/>
    </row>
    <row r="108" spans="2:9" s="78" customFormat="1" ht="14.25">
      <c r="B108" s="78" t="s">
        <v>128</v>
      </c>
      <c r="C108" s="78" t="s">
        <v>129</v>
      </c>
      <c r="D108" s="78" t="s">
        <v>3</v>
      </c>
      <c r="E108" s="78">
        <v>0.75</v>
      </c>
      <c r="F108" s="79">
        <f>TRUNC(21.983,2)</f>
        <v>21.98</v>
      </c>
      <c r="G108" s="63">
        <f>TRUNC(E108*F108,2)</f>
        <v>16.48</v>
      </c>
      <c r="H108" s="80"/>
      <c r="I108" s="81"/>
    </row>
    <row r="109" spans="2:9" s="78" customFormat="1" ht="28.5">
      <c r="B109" s="78" t="s">
        <v>4</v>
      </c>
      <c r="C109" s="78" t="s">
        <v>52</v>
      </c>
      <c r="D109" s="78" t="s">
        <v>5</v>
      </c>
      <c r="E109" s="78">
        <v>0.004</v>
      </c>
      <c r="F109" s="79">
        <f>TRUNC(8.55,2)</f>
        <v>8.55</v>
      </c>
      <c r="G109" s="63">
        <f>TRUNC(E109*F109,2)</f>
        <v>0.03</v>
      </c>
      <c r="H109" s="80"/>
      <c r="I109" s="81"/>
    </row>
    <row r="110" spans="2:9" s="78" customFormat="1" ht="14.25">
      <c r="B110" s="78" t="s">
        <v>191</v>
      </c>
      <c r="C110" s="78" t="s">
        <v>192</v>
      </c>
      <c r="D110" s="78" t="s">
        <v>6</v>
      </c>
      <c r="E110" s="78">
        <v>0.2575</v>
      </c>
      <c r="F110" s="79">
        <f>TRUNC(15.09,2)</f>
        <v>15.09</v>
      </c>
      <c r="G110" s="63">
        <f>TRUNC(E110*F110,2)</f>
        <v>3.88</v>
      </c>
      <c r="H110" s="80"/>
      <c r="I110" s="81"/>
    </row>
    <row r="111" spans="2:9" s="78" customFormat="1" ht="14.25">
      <c r="B111" s="78" t="s">
        <v>200</v>
      </c>
      <c r="C111" s="78" t="s">
        <v>201</v>
      </c>
      <c r="D111" s="78" t="s">
        <v>6</v>
      </c>
      <c r="E111" s="78">
        <v>0.2575</v>
      </c>
      <c r="F111" s="79">
        <f>TRUNC(20.83,2)</f>
        <v>20.83</v>
      </c>
      <c r="G111" s="63">
        <f>TRUNC(E111*F111,2)</f>
        <v>5.36</v>
      </c>
      <c r="H111" s="80"/>
      <c r="I111" s="81"/>
    </row>
    <row r="112" spans="5:9" s="78" customFormat="1" ht="14.25">
      <c r="E112" s="78" t="s">
        <v>7</v>
      </c>
      <c r="F112" s="79"/>
      <c r="G112" s="63">
        <f>TRUNC(SUM(G107:G111),2)</f>
        <v>27.85</v>
      </c>
      <c r="H112" s="80"/>
      <c r="I112" s="81"/>
    </row>
    <row r="113" spans="1:9" s="137" customFormat="1" ht="57">
      <c r="A113" s="137" t="s">
        <v>250</v>
      </c>
      <c r="B113" s="137" t="s">
        <v>225</v>
      </c>
      <c r="C113" s="137" t="s">
        <v>188</v>
      </c>
      <c r="D113" s="137" t="s">
        <v>0</v>
      </c>
      <c r="E113" s="137">
        <v>100.5</v>
      </c>
      <c r="F113" s="138">
        <f>TRUNC(G119,2)</f>
        <v>28.19</v>
      </c>
      <c r="G113" s="139">
        <f>TRUNC(F113*1.2247,2)</f>
        <v>34.52</v>
      </c>
      <c r="H113" s="139">
        <f>TRUNC(F113*E113,2)</f>
        <v>2833.09</v>
      </c>
      <c r="I113" s="140">
        <f>TRUNC(E113*G113,2)</f>
        <v>3469.26</v>
      </c>
    </row>
    <row r="114" spans="2:9" s="67" customFormat="1" ht="14.25">
      <c r="B114" s="67" t="s">
        <v>126</v>
      </c>
      <c r="C114" s="67" t="s">
        <v>127</v>
      </c>
      <c r="D114" s="67" t="s">
        <v>3</v>
      </c>
      <c r="E114" s="67">
        <v>1.4</v>
      </c>
      <c r="F114" s="68">
        <f>TRUNC(12,2)</f>
        <v>12</v>
      </c>
      <c r="G114" s="63">
        <f>TRUNC(E114*F114,2)</f>
        <v>16.8</v>
      </c>
      <c r="H114" s="63"/>
      <c r="I114" s="64"/>
    </row>
    <row r="115" spans="2:9" s="67" customFormat="1" ht="28.5">
      <c r="B115" s="67" t="s">
        <v>4</v>
      </c>
      <c r="C115" s="67" t="s">
        <v>52</v>
      </c>
      <c r="D115" s="67" t="s">
        <v>5</v>
      </c>
      <c r="E115" s="67">
        <v>0.01</v>
      </c>
      <c r="F115" s="68">
        <f>TRUNC(8.55,2)</f>
        <v>8.55</v>
      </c>
      <c r="G115" s="63">
        <f>TRUNC(E115*F115,2)</f>
        <v>0.08</v>
      </c>
      <c r="H115" s="63"/>
      <c r="I115" s="64"/>
    </row>
    <row r="116" spans="2:9" s="67" customFormat="1" ht="14.25">
      <c r="B116" s="67" t="s">
        <v>88</v>
      </c>
      <c r="C116" s="67" t="s">
        <v>89</v>
      </c>
      <c r="D116" s="67" t="s">
        <v>5</v>
      </c>
      <c r="E116" s="67">
        <v>0.055</v>
      </c>
      <c r="F116" s="68">
        <f>TRUNC(4.1384,2)</f>
        <v>4.13</v>
      </c>
      <c r="G116" s="63">
        <f>TRUNC(E116*F116,2)</f>
        <v>0.22</v>
      </c>
      <c r="H116" s="63"/>
      <c r="I116" s="64"/>
    </row>
    <row r="117" spans="2:9" s="67" customFormat="1" ht="14.25">
      <c r="B117" s="67" t="s">
        <v>191</v>
      </c>
      <c r="C117" s="67" t="s">
        <v>192</v>
      </c>
      <c r="D117" s="67" t="s">
        <v>6</v>
      </c>
      <c r="E117" s="67">
        <v>0.309</v>
      </c>
      <c r="F117" s="68">
        <f>TRUNC(15.09,2)</f>
        <v>15.09</v>
      </c>
      <c r="G117" s="63">
        <f>TRUNC(E117*F117,2)</f>
        <v>4.66</v>
      </c>
      <c r="H117" s="63"/>
      <c r="I117" s="64"/>
    </row>
    <row r="118" spans="2:9" s="67" customFormat="1" ht="14.25">
      <c r="B118" s="67" t="s">
        <v>200</v>
      </c>
      <c r="C118" s="67" t="s">
        <v>201</v>
      </c>
      <c r="D118" s="67" t="s">
        <v>6</v>
      </c>
      <c r="E118" s="67">
        <v>0.309</v>
      </c>
      <c r="F118" s="68">
        <f>TRUNC(20.83,2)</f>
        <v>20.83</v>
      </c>
      <c r="G118" s="63">
        <f>TRUNC(E118*F118,2)</f>
        <v>6.43</v>
      </c>
      <c r="H118" s="63"/>
      <c r="I118" s="64"/>
    </row>
    <row r="119" spans="5:9" s="67" customFormat="1" ht="14.25">
      <c r="E119" s="67" t="s">
        <v>7</v>
      </c>
      <c r="F119" s="68"/>
      <c r="G119" s="63">
        <f>TRUNC(SUM(G114:G118),2)</f>
        <v>28.19</v>
      </c>
      <c r="H119" s="63"/>
      <c r="I119" s="64"/>
    </row>
    <row r="120" spans="1:9" s="137" customFormat="1" ht="28.5">
      <c r="A120" s="137" t="s">
        <v>251</v>
      </c>
      <c r="B120" s="137" t="s">
        <v>226</v>
      </c>
      <c r="C120" s="137" t="s">
        <v>121</v>
      </c>
      <c r="D120" s="137" t="s">
        <v>3</v>
      </c>
      <c r="E120" s="137">
        <v>29.95</v>
      </c>
      <c r="F120" s="138">
        <f>TRUNC(G125,2)</f>
        <v>52.4</v>
      </c>
      <c r="G120" s="139">
        <f>TRUNC(F120*1.2247,2)</f>
        <v>64.17</v>
      </c>
      <c r="H120" s="139">
        <f>TRUNC(F120*E120,2)</f>
        <v>1569.38</v>
      </c>
      <c r="I120" s="140">
        <f>TRUNC(E120*G120,2)</f>
        <v>1921.89</v>
      </c>
    </row>
    <row r="121" spans="2:9" s="67" customFormat="1" ht="14.25">
      <c r="B121" s="67" t="s">
        <v>122</v>
      </c>
      <c r="C121" s="67" t="s">
        <v>123</v>
      </c>
      <c r="D121" s="67" t="s">
        <v>5</v>
      </c>
      <c r="E121" s="67">
        <v>0.44550000000000006</v>
      </c>
      <c r="F121" s="68">
        <f>TRUNC(19.05,2)</f>
        <v>19.05</v>
      </c>
      <c r="G121" s="63">
        <f>TRUNC(E121*F121,2)</f>
        <v>8.48</v>
      </c>
      <c r="H121" s="63"/>
      <c r="I121" s="64"/>
    </row>
    <row r="122" spans="2:9" s="67" customFormat="1" ht="14.25">
      <c r="B122" s="67" t="s">
        <v>191</v>
      </c>
      <c r="C122" s="67" t="s">
        <v>192</v>
      </c>
      <c r="D122" s="67" t="s">
        <v>6</v>
      </c>
      <c r="E122" s="67">
        <v>1.2051</v>
      </c>
      <c r="F122" s="68">
        <f>TRUNC(15.09,2)</f>
        <v>15.09</v>
      </c>
      <c r="G122" s="63">
        <f>TRUNC(E122*F122,2)</f>
        <v>18.18</v>
      </c>
      <c r="H122" s="63"/>
      <c r="I122" s="64"/>
    </row>
    <row r="123" spans="2:9" s="67" customFormat="1" ht="28.5">
      <c r="B123" s="67" t="s">
        <v>227</v>
      </c>
      <c r="C123" s="67" t="s">
        <v>228</v>
      </c>
      <c r="D123" s="67" t="s">
        <v>6</v>
      </c>
      <c r="E123" s="67">
        <v>0.618</v>
      </c>
      <c r="F123" s="68">
        <f>TRUNC(20.83,2)</f>
        <v>20.83</v>
      </c>
      <c r="G123" s="63">
        <f>TRUNC(E123*F123,2)</f>
        <v>12.87</v>
      </c>
      <c r="H123" s="63"/>
      <c r="I123" s="64"/>
    </row>
    <row r="124" spans="2:9" s="67" customFormat="1" ht="14.25">
      <c r="B124" s="67" t="s">
        <v>196</v>
      </c>
      <c r="C124" s="67" t="s">
        <v>197</v>
      </c>
      <c r="D124" s="67" t="s">
        <v>6</v>
      </c>
      <c r="E124" s="67">
        <v>0.618</v>
      </c>
      <c r="F124" s="68">
        <f>TRUNC(20.83,2)</f>
        <v>20.83</v>
      </c>
      <c r="G124" s="63">
        <f>TRUNC(E124*F124,2)</f>
        <v>12.87</v>
      </c>
      <c r="H124" s="63"/>
      <c r="I124" s="64"/>
    </row>
    <row r="125" spans="5:9" s="67" customFormat="1" ht="14.25">
      <c r="E125" s="67" t="s">
        <v>7</v>
      </c>
      <c r="F125" s="68"/>
      <c r="G125" s="63">
        <f>TRUNC(SUM(G121:G124),2)</f>
        <v>52.4</v>
      </c>
      <c r="H125" s="63"/>
      <c r="I125" s="64"/>
    </row>
    <row r="126" spans="1:9" s="137" customFormat="1" ht="42.75">
      <c r="A126" s="137" t="s">
        <v>252</v>
      </c>
      <c r="B126" s="137" t="s">
        <v>229</v>
      </c>
      <c r="C126" s="137" t="s">
        <v>190</v>
      </c>
      <c r="D126" s="137" t="s">
        <v>3</v>
      </c>
      <c r="E126" s="137">
        <v>9.25</v>
      </c>
      <c r="F126" s="138">
        <f>TRUNC(G131,2)</f>
        <v>56.81</v>
      </c>
      <c r="G126" s="139">
        <f>TRUNC(F126*1.2247,2)</f>
        <v>69.57</v>
      </c>
      <c r="H126" s="139">
        <f>TRUNC(F126*E126,2)</f>
        <v>525.49</v>
      </c>
      <c r="I126" s="140">
        <f>TRUNC(E126*G126,2)</f>
        <v>643.52</v>
      </c>
    </row>
    <row r="127" spans="2:9" s="67" customFormat="1" ht="14.25">
      <c r="B127" s="67" t="s">
        <v>122</v>
      </c>
      <c r="C127" s="67" t="s">
        <v>123</v>
      </c>
      <c r="D127" s="67" t="s">
        <v>5</v>
      </c>
      <c r="E127" s="67">
        <v>0.426825</v>
      </c>
      <c r="F127" s="68">
        <f>TRUNC(19.05,2)</f>
        <v>19.05</v>
      </c>
      <c r="G127" s="63">
        <f>TRUNC(E127*F127,2)</f>
        <v>8.13</v>
      </c>
      <c r="H127" s="63"/>
      <c r="I127" s="64"/>
    </row>
    <row r="128" spans="2:9" s="67" customFormat="1" ht="14.25">
      <c r="B128" s="67" t="s">
        <v>191</v>
      </c>
      <c r="C128" s="67" t="s">
        <v>192</v>
      </c>
      <c r="D128" s="67" t="s">
        <v>6</v>
      </c>
      <c r="E128" s="67">
        <v>1.236</v>
      </c>
      <c r="F128" s="68">
        <f>TRUNC(15.09,2)</f>
        <v>15.09</v>
      </c>
      <c r="G128" s="63">
        <f>TRUNC(E128*F128,2)</f>
        <v>18.65</v>
      </c>
      <c r="H128" s="63"/>
      <c r="I128" s="64"/>
    </row>
    <row r="129" spans="2:9" s="67" customFormat="1" ht="28.5">
      <c r="B129" s="67" t="s">
        <v>227</v>
      </c>
      <c r="C129" s="67" t="s">
        <v>228</v>
      </c>
      <c r="D129" s="67" t="s">
        <v>6</v>
      </c>
      <c r="E129" s="67">
        <v>0.8240000000000001</v>
      </c>
      <c r="F129" s="68">
        <f>TRUNC(20.83,2)</f>
        <v>20.83</v>
      </c>
      <c r="G129" s="63">
        <f>TRUNC(E129*F129,2)</f>
        <v>17.16</v>
      </c>
      <c r="H129" s="63"/>
      <c r="I129" s="64"/>
    </row>
    <row r="130" spans="2:9" s="67" customFormat="1" ht="14.25">
      <c r="B130" s="67" t="s">
        <v>196</v>
      </c>
      <c r="C130" s="67" t="s">
        <v>197</v>
      </c>
      <c r="D130" s="67" t="s">
        <v>6</v>
      </c>
      <c r="E130" s="67">
        <v>0.618</v>
      </c>
      <c r="F130" s="68">
        <f>TRUNC(20.83,2)</f>
        <v>20.83</v>
      </c>
      <c r="G130" s="63">
        <f>TRUNC(E130*F130,2)</f>
        <v>12.87</v>
      </c>
      <c r="H130" s="63"/>
      <c r="I130" s="64"/>
    </row>
    <row r="131" spans="5:9" s="67" customFormat="1" ht="14.25">
      <c r="E131" s="67" t="s">
        <v>7</v>
      </c>
      <c r="F131" s="68"/>
      <c r="G131" s="63">
        <f>TRUNC(SUM(G127:G130),2)</f>
        <v>56.81</v>
      </c>
      <c r="H131" s="63"/>
      <c r="I131" s="64"/>
    </row>
    <row r="132" spans="1:9" s="137" customFormat="1" ht="28.5">
      <c r="A132" s="137" t="s">
        <v>253</v>
      </c>
      <c r="B132" s="137" t="s">
        <v>280</v>
      </c>
      <c r="C132" s="137" t="s">
        <v>277</v>
      </c>
      <c r="D132" s="137" t="s">
        <v>3</v>
      </c>
      <c r="E132" s="137">
        <v>7</v>
      </c>
      <c r="F132" s="138">
        <f>TRUNC(G134,2)</f>
        <v>31.69</v>
      </c>
      <c r="G132" s="139">
        <f>TRUNC(F132*1.2247,2)</f>
        <v>38.81</v>
      </c>
      <c r="H132" s="139">
        <f>TRUNC(F132*E132,2)</f>
        <v>221.83</v>
      </c>
      <c r="I132" s="140">
        <f>TRUNC(E132*G132,2)</f>
        <v>271.67</v>
      </c>
    </row>
    <row r="133" spans="2:9" s="67" customFormat="1" ht="28.5">
      <c r="B133" s="67" t="s">
        <v>278</v>
      </c>
      <c r="C133" s="67" t="s">
        <v>279</v>
      </c>
      <c r="D133" s="67" t="s">
        <v>3</v>
      </c>
      <c r="E133" s="67">
        <v>1</v>
      </c>
      <c r="F133" s="68">
        <f>TRUNC(31.6983,2)</f>
        <v>31.69</v>
      </c>
      <c r="G133" s="63">
        <f>TRUNC(E133*F133,2)</f>
        <v>31.69</v>
      </c>
      <c r="H133" s="63"/>
      <c r="I133" s="64"/>
    </row>
    <row r="134" spans="5:9" s="67" customFormat="1" ht="14.25">
      <c r="E134" s="67" t="s">
        <v>7</v>
      </c>
      <c r="F134" s="68"/>
      <c r="G134" s="63">
        <f>TRUNC(SUM(G133:G133),2)</f>
        <v>31.69</v>
      </c>
      <c r="H134" s="63"/>
      <c r="I134" s="64"/>
    </row>
    <row r="135" spans="1:9" s="67" customFormat="1" ht="15.75">
      <c r="A135" s="67" t="s">
        <v>44</v>
      </c>
      <c r="F135" s="55" t="s">
        <v>310</v>
      </c>
      <c r="G135" s="55"/>
      <c r="H135" s="56">
        <f>H126+H120+H113+H106+H97+H132</f>
        <v>11957.65</v>
      </c>
      <c r="I135" s="56">
        <f>I126+I120+I113+I106+I97+I132</f>
        <v>14642.810000000001</v>
      </c>
    </row>
    <row r="136" spans="1:9" s="43" customFormat="1" ht="15.75">
      <c r="A136" s="43" t="s">
        <v>20</v>
      </c>
      <c r="B136" s="51"/>
      <c r="C136" s="52" t="s">
        <v>264</v>
      </c>
      <c r="D136" s="52"/>
      <c r="E136" s="52"/>
      <c r="F136" s="52"/>
      <c r="G136" s="52"/>
      <c r="H136" s="52"/>
      <c r="I136" s="50"/>
    </row>
    <row r="137" spans="1:9" s="137" customFormat="1" ht="57">
      <c r="A137" s="137" t="s">
        <v>254</v>
      </c>
      <c r="B137" s="137" t="s">
        <v>230</v>
      </c>
      <c r="C137" s="137" t="s">
        <v>103</v>
      </c>
      <c r="D137" s="137" t="s">
        <v>12</v>
      </c>
      <c r="E137" s="137">
        <v>2</v>
      </c>
      <c r="F137" s="138">
        <f>TRUNC(G140,2)</f>
        <v>239.32</v>
      </c>
      <c r="G137" s="139">
        <f>TRUNC(F137*1.2247,2)</f>
        <v>293.09</v>
      </c>
      <c r="H137" s="139">
        <f>TRUNC(F137*E137,2)</f>
        <v>478.64</v>
      </c>
      <c r="I137" s="140">
        <f>TRUNC(E137*G137,2)</f>
        <v>586.18</v>
      </c>
    </row>
    <row r="138" spans="2:9" s="67" customFormat="1" ht="14.25">
      <c r="B138" s="67" t="s">
        <v>191</v>
      </c>
      <c r="C138" s="67" t="s">
        <v>192</v>
      </c>
      <c r="D138" s="67" t="s">
        <v>6</v>
      </c>
      <c r="E138" s="67">
        <v>0.618</v>
      </c>
      <c r="F138" s="68">
        <f>TRUNC(15.09,2)</f>
        <v>15.09</v>
      </c>
      <c r="G138" s="63">
        <f>TRUNC(E138*F138,2)</f>
        <v>9.32</v>
      </c>
      <c r="H138" s="63"/>
      <c r="I138" s="64"/>
    </row>
    <row r="139" spans="2:9" s="67" customFormat="1" ht="28.5">
      <c r="B139" s="67" t="s">
        <v>104</v>
      </c>
      <c r="C139" s="67" t="s">
        <v>105</v>
      </c>
      <c r="D139" s="67" t="s">
        <v>12</v>
      </c>
      <c r="E139" s="67">
        <v>1</v>
      </c>
      <c r="F139" s="68">
        <f>TRUNC(230,2)</f>
        <v>230</v>
      </c>
      <c r="G139" s="63">
        <f>TRUNC(E139*F139,2)</f>
        <v>230</v>
      </c>
      <c r="H139" s="63"/>
      <c r="I139" s="64"/>
    </row>
    <row r="140" spans="5:9" s="67" customFormat="1" ht="14.25">
      <c r="E140" s="67" t="s">
        <v>7</v>
      </c>
      <c r="F140" s="68"/>
      <c r="G140" s="63">
        <f>TRUNC(SUM(G138:G139),2)</f>
        <v>239.32</v>
      </c>
      <c r="H140" s="63"/>
      <c r="I140" s="64"/>
    </row>
    <row r="141" spans="1:9" s="137" customFormat="1" ht="28.5">
      <c r="A141" s="137" t="s">
        <v>255</v>
      </c>
      <c r="B141" s="137" t="s">
        <v>231</v>
      </c>
      <c r="C141" s="137" t="s">
        <v>130</v>
      </c>
      <c r="D141" s="137" t="s">
        <v>1</v>
      </c>
      <c r="E141" s="137">
        <v>7.2</v>
      </c>
      <c r="F141" s="138">
        <f>TRUNC(G143,2)</f>
        <v>21.75</v>
      </c>
      <c r="G141" s="139">
        <f>TRUNC(F141*1.2247,2)</f>
        <v>26.63</v>
      </c>
      <c r="H141" s="139">
        <f>TRUNC(F141*E141,2)</f>
        <v>156.6</v>
      </c>
      <c r="I141" s="140">
        <f>TRUNC(E141*G141,2)</f>
        <v>191.73</v>
      </c>
    </row>
    <row r="142" spans="2:9" s="67" customFormat="1" ht="14.25">
      <c r="B142" s="67" t="s">
        <v>191</v>
      </c>
      <c r="C142" s="67" t="s">
        <v>192</v>
      </c>
      <c r="D142" s="67" t="s">
        <v>6</v>
      </c>
      <c r="E142" s="67">
        <v>1.442</v>
      </c>
      <c r="F142" s="68">
        <f>TRUNC(15.09,2)</f>
        <v>15.09</v>
      </c>
      <c r="G142" s="63">
        <f>TRUNC(E142*F142,2)</f>
        <v>21.75</v>
      </c>
      <c r="H142" s="63"/>
      <c r="I142" s="64"/>
    </row>
    <row r="143" spans="5:9" s="67" customFormat="1" ht="14.25">
      <c r="E143" s="67" t="s">
        <v>7</v>
      </c>
      <c r="F143" s="68"/>
      <c r="G143" s="63">
        <f>TRUNC(SUM(G142:G142),2)</f>
        <v>21.75</v>
      </c>
      <c r="H143" s="63"/>
      <c r="I143" s="64"/>
    </row>
    <row r="144" spans="1:9" s="137" customFormat="1" ht="42.75">
      <c r="A144" s="137" t="s">
        <v>256</v>
      </c>
      <c r="B144" s="137" t="s">
        <v>232</v>
      </c>
      <c r="C144" s="137" t="s">
        <v>149</v>
      </c>
      <c r="D144" s="137" t="s">
        <v>159</v>
      </c>
      <c r="E144" s="137">
        <v>10.65</v>
      </c>
      <c r="F144" s="138">
        <f>TRUNC(8,2)</f>
        <v>8</v>
      </c>
      <c r="G144" s="139">
        <f>TRUNC(F144*1.2247,2)</f>
        <v>9.79</v>
      </c>
      <c r="H144" s="139">
        <f>TRUNC(F144*E144,2)</f>
        <v>85.2</v>
      </c>
      <c r="I144" s="140">
        <f>TRUNC(E144*G144,2)</f>
        <v>104.26</v>
      </c>
    </row>
    <row r="145" spans="2:9" s="67" customFormat="1" ht="28.5">
      <c r="B145" s="67" t="s">
        <v>160</v>
      </c>
      <c r="C145" s="67" t="s">
        <v>161</v>
      </c>
      <c r="D145" s="67" t="s">
        <v>162</v>
      </c>
      <c r="E145" s="67">
        <v>20</v>
      </c>
      <c r="F145" s="68">
        <f>TRUNC(0.4,2)</f>
        <v>0.4</v>
      </c>
      <c r="G145" s="63">
        <f>TRUNC(E145*F145,2)</f>
        <v>8</v>
      </c>
      <c r="H145" s="63"/>
      <c r="I145" s="64"/>
    </row>
    <row r="146" spans="5:9" s="67" customFormat="1" ht="14.25">
      <c r="E146" s="67" t="s">
        <v>7</v>
      </c>
      <c r="F146" s="68"/>
      <c r="G146" s="63">
        <f>TRUNC(SUM(G145:G145),2)</f>
        <v>8</v>
      </c>
      <c r="H146" s="63"/>
      <c r="I146" s="64"/>
    </row>
    <row r="147" spans="1:9" s="137" customFormat="1" ht="42.75">
      <c r="A147" s="137" t="s">
        <v>257</v>
      </c>
      <c r="B147" s="137" t="s">
        <v>233</v>
      </c>
      <c r="C147" s="137" t="s">
        <v>234</v>
      </c>
      <c r="D147" s="137" t="s">
        <v>163</v>
      </c>
      <c r="E147" s="137">
        <v>189</v>
      </c>
      <c r="F147" s="138">
        <f>TRUNC(G149,2)</f>
        <v>0.12</v>
      </c>
      <c r="G147" s="139">
        <f>TRUNC(F147*1.2247,2)</f>
        <v>0.14</v>
      </c>
      <c r="H147" s="139">
        <f>TRUNC(F147*E147,2)</f>
        <v>22.68</v>
      </c>
      <c r="I147" s="140">
        <f>TRUNC(E147*G147,2)</f>
        <v>26.46</v>
      </c>
    </row>
    <row r="148" spans="2:9" s="67" customFormat="1" ht="14.25">
      <c r="B148" s="67" t="s">
        <v>235</v>
      </c>
      <c r="C148" s="67" t="s">
        <v>236</v>
      </c>
      <c r="D148" s="67" t="s">
        <v>6</v>
      </c>
      <c r="E148" s="67">
        <v>0.00121</v>
      </c>
      <c r="F148" s="68">
        <f>TRUNC(99.8583,2)</f>
        <v>99.85</v>
      </c>
      <c r="G148" s="63">
        <f>TRUNC(E148*F148,2)</f>
        <v>0.12</v>
      </c>
      <c r="H148" s="63"/>
      <c r="I148" s="64"/>
    </row>
    <row r="149" spans="5:9" s="67" customFormat="1" ht="14.25">
      <c r="E149" s="67" t="s">
        <v>7</v>
      </c>
      <c r="F149" s="68"/>
      <c r="G149" s="63">
        <f>TRUNC(SUM(G148:G148),2)</f>
        <v>0.12</v>
      </c>
      <c r="H149" s="63"/>
      <c r="I149" s="64"/>
    </row>
    <row r="150" spans="1:9" s="137" customFormat="1" ht="42.75">
      <c r="A150" s="137" t="s">
        <v>258</v>
      </c>
      <c r="B150" s="137" t="s">
        <v>237</v>
      </c>
      <c r="C150" s="137" t="s">
        <v>152</v>
      </c>
      <c r="D150" s="137" t="s">
        <v>0</v>
      </c>
      <c r="E150" s="137">
        <v>31.5</v>
      </c>
      <c r="F150" s="138">
        <f>TRUNC(G153,2)</f>
        <v>0.69</v>
      </c>
      <c r="G150" s="139">
        <f>TRUNC(F150*1.2247,2)</f>
        <v>0.84</v>
      </c>
      <c r="H150" s="139">
        <f>TRUNC(F150*E150,2)</f>
        <v>21.73</v>
      </c>
      <c r="I150" s="140">
        <f>TRUNC(E150*G150,2)</f>
        <v>26.46</v>
      </c>
    </row>
    <row r="151" spans="2:9" s="67" customFormat="1" ht="14.25">
      <c r="B151" s="67" t="s">
        <v>191</v>
      </c>
      <c r="C151" s="67" t="s">
        <v>192</v>
      </c>
      <c r="D151" s="67" t="s">
        <v>6</v>
      </c>
      <c r="E151" s="67">
        <v>0.013389999999999999</v>
      </c>
      <c r="F151" s="68">
        <f>TRUNC(15.09,2)</f>
        <v>15.09</v>
      </c>
      <c r="G151" s="63">
        <f>TRUNC(E151*F151,2)</f>
        <v>0.2</v>
      </c>
      <c r="H151" s="63"/>
      <c r="I151" s="64"/>
    </row>
    <row r="152" spans="2:9" s="67" customFormat="1" ht="14.25">
      <c r="B152" s="67" t="s">
        <v>238</v>
      </c>
      <c r="C152" s="67" t="s">
        <v>239</v>
      </c>
      <c r="D152" s="67" t="s">
        <v>6</v>
      </c>
      <c r="E152" s="67">
        <v>0.013</v>
      </c>
      <c r="F152" s="68">
        <f>TRUNC(38.2462,2)</f>
        <v>38.24</v>
      </c>
      <c r="G152" s="63">
        <f>TRUNC(E152*F152,2)</f>
        <v>0.49</v>
      </c>
      <c r="H152" s="63"/>
      <c r="I152" s="64"/>
    </row>
    <row r="153" spans="5:9" s="67" customFormat="1" ht="14.25">
      <c r="E153" s="67" t="s">
        <v>7</v>
      </c>
      <c r="F153" s="68"/>
      <c r="G153" s="63">
        <f>TRUNC(SUM(G151:G152),2)</f>
        <v>0.69</v>
      </c>
      <c r="H153" s="63"/>
      <c r="I153" s="64"/>
    </row>
    <row r="154" spans="1:9" s="137" customFormat="1" ht="28.5">
      <c r="A154" s="137" t="s">
        <v>259</v>
      </c>
      <c r="B154" s="137" t="s">
        <v>240</v>
      </c>
      <c r="C154" s="137" t="s">
        <v>154</v>
      </c>
      <c r="D154" s="137" t="s">
        <v>0</v>
      </c>
      <c r="E154" s="137">
        <v>31.5</v>
      </c>
      <c r="F154" s="138">
        <f>TRUNC(G156,2)</f>
        <v>6.21</v>
      </c>
      <c r="G154" s="139">
        <f>TRUNC(F154*1.2247,2)</f>
        <v>7.6</v>
      </c>
      <c r="H154" s="139">
        <f>TRUNC(F154*E154,2)</f>
        <v>195.61</v>
      </c>
      <c r="I154" s="140">
        <f>TRUNC(E154*G154,2)</f>
        <v>239.4</v>
      </c>
    </row>
    <row r="155" spans="2:9" s="67" customFormat="1" ht="14.25">
      <c r="B155" s="67" t="s">
        <v>191</v>
      </c>
      <c r="C155" s="67" t="s">
        <v>192</v>
      </c>
      <c r="D155" s="67" t="s">
        <v>6</v>
      </c>
      <c r="E155" s="67">
        <v>0.41200000000000003</v>
      </c>
      <c r="F155" s="68">
        <f>TRUNC(15.09,2)</f>
        <v>15.09</v>
      </c>
      <c r="G155" s="63">
        <f>TRUNC(E155*F155,2)</f>
        <v>6.21</v>
      </c>
      <c r="H155" s="63"/>
      <c r="I155" s="64"/>
    </row>
    <row r="156" spans="5:9" s="67" customFormat="1" ht="14.25">
      <c r="E156" s="67" t="s">
        <v>7</v>
      </c>
      <c r="F156" s="68"/>
      <c r="G156" s="63">
        <f>TRUNC(SUM(G155:G155),2)</f>
        <v>6.21</v>
      </c>
      <c r="H156" s="63"/>
      <c r="I156" s="64"/>
    </row>
    <row r="157" spans="1:9" s="137" customFormat="1" ht="42.75">
      <c r="A157" s="137" t="s">
        <v>260</v>
      </c>
      <c r="B157" s="137" t="s">
        <v>241</v>
      </c>
      <c r="C157" s="137" t="s">
        <v>156</v>
      </c>
      <c r="D157" s="137" t="s">
        <v>0</v>
      </c>
      <c r="E157" s="137">
        <v>31.5</v>
      </c>
      <c r="F157" s="138">
        <f>TRUNC(G159,2)</f>
        <v>2.99</v>
      </c>
      <c r="G157" s="139">
        <f>TRUNC(F157*1.2247,2)</f>
        <v>3.66</v>
      </c>
      <c r="H157" s="139">
        <f>TRUNC(F157*E157,2)</f>
        <v>94.18</v>
      </c>
      <c r="I157" s="140">
        <f>TRUNC(E157*G157,2)</f>
        <v>115.29</v>
      </c>
    </row>
    <row r="158" spans="2:9" s="67" customFormat="1" ht="14.25">
      <c r="B158" s="67" t="s">
        <v>164</v>
      </c>
      <c r="C158" s="67" t="s">
        <v>165</v>
      </c>
      <c r="D158" s="67" t="s">
        <v>3</v>
      </c>
      <c r="E158" s="67">
        <v>0.05</v>
      </c>
      <c r="F158" s="68">
        <f>TRUNC(59.966,2)</f>
        <v>59.96</v>
      </c>
      <c r="G158" s="63">
        <f>TRUNC(E158*F158,2)</f>
        <v>2.99</v>
      </c>
      <c r="H158" s="63"/>
      <c r="I158" s="64"/>
    </row>
    <row r="159" spans="5:9" s="67" customFormat="1" ht="14.25">
      <c r="E159" s="67" t="s">
        <v>7</v>
      </c>
      <c r="F159" s="68"/>
      <c r="G159" s="63">
        <f>TRUNC(SUM(G158:G158),2)</f>
        <v>2.99</v>
      </c>
      <c r="H159" s="63"/>
      <c r="I159" s="64"/>
    </row>
    <row r="160" spans="1:9" s="137" customFormat="1" ht="28.5">
      <c r="A160" s="137" t="s">
        <v>261</v>
      </c>
      <c r="B160" s="137" t="s">
        <v>242</v>
      </c>
      <c r="C160" s="137" t="s">
        <v>158</v>
      </c>
      <c r="D160" s="137" t="s">
        <v>0</v>
      </c>
      <c r="E160" s="137">
        <v>31.5</v>
      </c>
      <c r="F160" s="138">
        <f>TRUNC(G162,2)</f>
        <v>0.51</v>
      </c>
      <c r="G160" s="139">
        <f>TRUNC(F160*1.2247,2)</f>
        <v>0.62</v>
      </c>
      <c r="H160" s="139">
        <f>TRUNC(F160*E160,2)</f>
        <v>16.06</v>
      </c>
      <c r="I160" s="140">
        <f>TRUNC(E160*G160,2)</f>
        <v>19.53</v>
      </c>
    </row>
    <row r="161" spans="2:9" s="67" customFormat="1" ht="14.25">
      <c r="B161" s="67" t="s">
        <v>191</v>
      </c>
      <c r="C161" s="67" t="s">
        <v>192</v>
      </c>
      <c r="D161" s="67" t="s">
        <v>6</v>
      </c>
      <c r="E161" s="67">
        <v>0.03399</v>
      </c>
      <c r="F161" s="68">
        <f>TRUNC(15.09,2)</f>
        <v>15.09</v>
      </c>
      <c r="G161" s="63">
        <f>TRUNC(E161*F161,2)</f>
        <v>0.51</v>
      </c>
      <c r="H161" s="63"/>
      <c r="I161" s="64"/>
    </row>
    <row r="162" spans="5:9" s="67" customFormat="1" ht="14.25">
      <c r="E162" s="67" t="s">
        <v>7</v>
      </c>
      <c r="F162" s="68"/>
      <c r="G162" s="63">
        <f>TRUNC(SUM(G161:G161),2)</f>
        <v>0.51</v>
      </c>
      <c r="H162" s="63"/>
      <c r="I162" s="64"/>
    </row>
    <row r="163" spans="1:9" s="137" customFormat="1" ht="14.25">
      <c r="A163" s="137" t="s">
        <v>262</v>
      </c>
      <c r="B163" s="137" t="s">
        <v>307</v>
      </c>
      <c r="C163" s="137" t="s">
        <v>308</v>
      </c>
      <c r="D163" s="137" t="s">
        <v>0</v>
      </c>
      <c r="E163" s="137">
        <v>14.4</v>
      </c>
      <c r="F163" s="138">
        <f>TRUNC(G165,2)</f>
        <v>0.84</v>
      </c>
      <c r="G163" s="139">
        <f>TRUNC(F163*1.2247,2)</f>
        <v>1.02</v>
      </c>
      <c r="H163" s="139">
        <f>TRUNC(F163*E163,2)</f>
        <v>12.09</v>
      </c>
      <c r="I163" s="140">
        <f>TRUNC(E163*G163,2)</f>
        <v>14.68</v>
      </c>
    </row>
    <row r="164" spans="2:9" s="67" customFormat="1" ht="14.25">
      <c r="B164" s="67" t="s">
        <v>285</v>
      </c>
      <c r="C164" s="67" t="s">
        <v>71</v>
      </c>
      <c r="D164" s="67" t="s">
        <v>6</v>
      </c>
      <c r="E164" s="67">
        <v>0.0385</v>
      </c>
      <c r="F164" s="68">
        <f>TRUNC(21.86,2)</f>
        <v>21.86</v>
      </c>
      <c r="G164" s="63">
        <f>TRUNC(E164*F164,2)</f>
        <v>0.84</v>
      </c>
      <c r="H164" s="63"/>
      <c r="I164" s="64"/>
    </row>
    <row r="165" spans="5:9" s="67" customFormat="1" ht="14.25">
      <c r="E165" s="67" t="s">
        <v>7</v>
      </c>
      <c r="F165" s="68"/>
      <c r="G165" s="63">
        <f>TRUNC(SUM(G164:G164),2)</f>
        <v>0.84</v>
      </c>
      <c r="H165" s="63"/>
      <c r="I165" s="64"/>
    </row>
    <row r="166" spans="1:9" s="44" customFormat="1" ht="15.75">
      <c r="A166" s="53" t="s">
        <v>44</v>
      </c>
      <c r="B166" s="55"/>
      <c r="C166" s="54"/>
      <c r="D166" s="55"/>
      <c r="E166" s="55"/>
      <c r="F166" s="55" t="s">
        <v>309</v>
      </c>
      <c r="G166" s="55"/>
      <c r="H166" s="56">
        <f>H163+H160+H157+H154+H150+H147+H144+H141+H137</f>
        <v>1082.79</v>
      </c>
      <c r="I166" s="56">
        <f>I163+I160+I157+I154+I150+I147+I144+I141+I137</f>
        <v>1323.9899999999998</v>
      </c>
    </row>
    <row r="167" spans="1:9" s="44" customFormat="1" ht="15.75">
      <c r="A167" s="53" t="s">
        <v>44</v>
      </c>
      <c r="B167" s="55"/>
      <c r="C167" s="54"/>
      <c r="D167" s="55"/>
      <c r="E167" s="55"/>
      <c r="F167" s="55" t="s">
        <v>49</v>
      </c>
      <c r="G167" s="55"/>
      <c r="H167" s="57">
        <f>H135+H95+H86+H77+H36+H166</f>
        <v>19841.8</v>
      </c>
      <c r="I167" s="57">
        <f>I135+I95+I86+I77+I36+I166</f>
        <v>24295.159999999996</v>
      </c>
    </row>
    <row r="168" spans="1:9" s="44" customFormat="1" ht="15.75">
      <c r="A168" s="53"/>
      <c r="B168" s="55"/>
      <c r="C168" s="54"/>
      <c r="D168" s="55"/>
      <c r="E168" s="55"/>
      <c r="F168" s="55"/>
      <c r="G168" s="55"/>
      <c r="H168" s="56"/>
      <c r="I168" s="57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8"/>
  <sheetViews>
    <sheetView view="pageBreakPreview" zoomScale="70" zoomScaleSheetLayoutView="70" zoomScalePageLayoutView="0" workbookViewId="0" topLeftCell="A1">
      <selection activeCell="C1" sqref="C1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1" max="11" width="11.00390625" style="0" bestFit="1" customWidth="1"/>
  </cols>
  <sheetData>
    <row r="1" spans="1:7" ht="15.75">
      <c r="A1" s="2"/>
      <c r="B1" s="3"/>
      <c r="C1" s="4" t="s">
        <v>22</v>
      </c>
      <c r="D1" s="5"/>
      <c r="E1" s="6"/>
      <c r="F1" s="7"/>
      <c r="G1" s="8"/>
    </row>
    <row r="2" spans="1:7" ht="15.75">
      <c r="A2" s="9"/>
      <c r="B2" s="10"/>
      <c r="C2" s="11" t="s">
        <v>23</v>
      </c>
      <c r="D2" s="12"/>
      <c r="E2" s="13"/>
      <c r="F2" s="14"/>
      <c r="G2" s="15"/>
    </row>
    <row r="3" spans="1:7" ht="15.75">
      <c r="A3" s="9"/>
      <c r="B3" s="10"/>
      <c r="C3" s="11" t="s">
        <v>24</v>
      </c>
      <c r="D3" s="82" t="s">
        <v>268</v>
      </c>
      <c r="E3" s="83"/>
      <c r="F3" s="83"/>
      <c r="G3" s="84"/>
    </row>
    <row r="4" spans="1:7" ht="15.75" customHeight="1">
      <c r="A4" s="9"/>
      <c r="B4" s="10"/>
      <c r="C4" s="16" t="s">
        <v>267</v>
      </c>
      <c r="D4" s="85" t="s">
        <v>339</v>
      </c>
      <c r="E4" s="86"/>
      <c r="F4" s="86"/>
      <c r="G4" s="87"/>
    </row>
    <row r="5" spans="1:7" ht="15.75">
      <c r="A5" s="9"/>
      <c r="B5" s="10"/>
      <c r="C5" s="45" t="s">
        <v>266</v>
      </c>
      <c r="D5" s="88" t="s">
        <v>74</v>
      </c>
      <c r="E5" s="89"/>
      <c r="F5" s="89"/>
      <c r="G5" s="90"/>
    </row>
    <row r="6" spans="1:7" ht="15.75">
      <c r="A6" s="9"/>
      <c r="B6" s="10"/>
      <c r="C6" s="17" t="s">
        <v>336</v>
      </c>
      <c r="D6" s="91" t="s">
        <v>75</v>
      </c>
      <c r="E6" s="92"/>
      <c r="F6" s="92"/>
      <c r="G6" s="93"/>
    </row>
    <row r="7" spans="1:7" ht="15.75">
      <c r="A7" s="9"/>
      <c r="B7" s="10"/>
      <c r="C7" s="46"/>
      <c r="D7" s="91" t="s">
        <v>265</v>
      </c>
      <c r="E7" s="92"/>
      <c r="F7" s="92"/>
      <c r="G7" s="93"/>
    </row>
    <row r="8" spans="1:7" ht="15.75">
      <c r="A8" s="18"/>
      <c r="B8" s="19"/>
      <c r="C8" s="20"/>
      <c r="D8" s="94" t="s">
        <v>50</v>
      </c>
      <c r="E8" s="95"/>
      <c r="F8" s="95"/>
      <c r="G8" s="96"/>
    </row>
    <row r="9" spans="1:7" ht="15">
      <c r="A9" s="97" t="s">
        <v>25</v>
      </c>
      <c r="B9" s="98"/>
      <c r="C9" s="98"/>
      <c r="D9" s="98"/>
      <c r="E9" s="98"/>
      <c r="F9" s="98"/>
      <c r="G9" s="98"/>
    </row>
    <row r="10" spans="1:9" s="48" customFormat="1" ht="12.75" customHeight="1">
      <c r="A10" s="99" t="s">
        <v>26</v>
      </c>
      <c r="B10" s="100" t="s">
        <v>51</v>
      </c>
      <c r="C10" s="100" t="s">
        <v>27</v>
      </c>
      <c r="D10" s="99" t="s">
        <v>12</v>
      </c>
      <c r="E10" s="101" t="s">
        <v>28</v>
      </c>
      <c r="F10" s="102" t="s">
        <v>29</v>
      </c>
      <c r="G10" s="102"/>
      <c r="H10" s="102"/>
      <c r="I10" s="102"/>
    </row>
    <row r="11" spans="1:9" s="48" customFormat="1" ht="12.75" customHeight="1">
      <c r="A11" s="99"/>
      <c r="B11" s="100"/>
      <c r="C11" s="100"/>
      <c r="D11" s="99"/>
      <c r="E11" s="101"/>
      <c r="F11" s="49" t="s">
        <v>67</v>
      </c>
      <c r="G11" s="49" t="s">
        <v>68</v>
      </c>
      <c r="H11" s="49" t="s">
        <v>69</v>
      </c>
      <c r="I11" s="47" t="s">
        <v>70</v>
      </c>
    </row>
    <row r="12" spans="1:9" s="43" customFormat="1" ht="15.75">
      <c r="A12" s="43" t="s">
        <v>14</v>
      </c>
      <c r="B12" s="51"/>
      <c r="C12" s="52" t="s">
        <v>15</v>
      </c>
      <c r="D12" s="52"/>
      <c r="E12" s="52"/>
      <c r="F12" s="52"/>
      <c r="G12" s="52"/>
      <c r="H12" s="52"/>
      <c r="I12" s="50"/>
    </row>
    <row r="13" spans="1:10" s="65" customFormat="1" ht="42.75">
      <c r="A13" s="143" t="s">
        <v>8</v>
      </c>
      <c r="B13" s="144" t="s">
        <v>63</v>
      </c>
      <c r="C13" s="145" t="s">
        <v>64</v>
      </c>
      <c r="D13" s="146" t="s">
        <v>0</v>
      </c>
      <c r="E13" s="147">
        <v>6</v>
      </c>
      <c r="F13" s="148">
        <f>TRUNC(G19,2)</f>
        <v>169.7</v>
      </c>
      <c r="G13" s="139">
        <f>TRUNC(F13*1.2882,2)</f>
        <v>218.6</v>
      </c>
      <c r="H13" s="139">
        <f>TRUNC(F13*E13,2)</f>
        <v>1018.2</v>
      </c>
      <c r="I13" s="140">
        <f>TRUNC(E13*G13,2)</f>
        <v>1311.6</v>
      </c>
      <c r="J13" s="66">
        <v>1.2882</v>
      </c>
    </row>
    <row r="14" spans="1:10" s="65" customFormat="1" ht="28.5">
      <c r="A14" s="59"/>
      <c r="B14" s="60" t="s">
        <v>65</v>
      </c>
      <c r="C14" s="76" t="s">
        <v>66</v>
      </c>
      <c r="D14" s="61" t="s">
        <v>0</v>
      </c>
      <c r="E14" s="77">
        <v>1</v>
      </c>
      <c r="F14" s="62">
        <f>TRUNC(65.3234,2)</f>
        <v>65.32</v>
      </c>
      <c r="G14" s="63">
        <f>TRUNC(E14*F14,2)</f>
        <v>65.32</v>
      </c>
      <c r="H14" s="63"/>
      <c r="I14" s="64"/>
      <c r="J14" s="66"/>
    </row>
    <row r="15" spans="1:10" s="65" customFormat="1" ht="28.5">
      <c r="A15" s="59"/>
      <c r="B15" s="60" t="s">
        <v>4</v>
      </c>
      <c r="C15" s="76" t="s">
        <v>52</v>
      </c>
      <c r="D15" s="61" t="s">
        <v>5</v>
      </c>
      <c r="E15" s="77">
        <v>0.3</v>
      </c>
      <c r="F15" s="62">
        <f>TRUNC(8.55,2)</f>
        <v>8.55</v>
      </c>
      <c r="G15" s="63">
        <f>TRUNC(E15*F15,2)</f>
        <v>2.56</v>
      </c>
      <c r="H15" s="63"/>
      <c r="I15" s="64"/>
      <c r="J15" s="66"/>
    </row>
    <row r="16" spans="1:10" s="65" customFormat="1" ht="14.25">
      <c r="A16" s="59"/>
      <c r="B16" s="60" t="s">
        <v>2</v>
      </c>
      <c r="C16" s="76" t="s">
        <v>101</v>
      </c>
      <c r="D16" s="61" t="s">
        <v>3</v>
      </c>
      <c r="E16" s="77">
        <v>9.2</v>
      </c>
      <c r="F16" s="62">
        <f>TRUNC(3.796,2)</f>
        <v>3.79</v>
      </c>
      <c r="G16" s="63">
        <f>TRUNC(E16*F16,2)</f>
        <v>34.86</v>
      </c>
      <c r="H16" s="63"/>
      <c r="I16" s="64"/>
      <c r="J16" s="66"/>
    </row>
    <row r="17" spans="1:10" s="65" customFormat="1" ht="28.5">
      <c r="A17" s="59"/>
      <c r="B17" s="60" t="s">
        <v>53</v>
      </c>
      <c r="C17" s="76" t="s">
        <v>54</v>
      </c>
      <c r="D17" s="61" t="s">
        <v>6</v>
      </c>
      <c r="E17" s="77">
        <v>2.06</v>
      </c>
      <c r="F17" s="62">
        <f>TRUNC(13.08,2)</f>
        <v>13.08</v>
      </c>
      <c r="G17" s="63">
        <f>TRUNC(E17*F17,2)</f>
        <v>26.94</v>
      </c>
      <c r="H17" s="63"/>
      <c r="I17" s="64"/>
      <c r="J17" s="66"/>
    </row>
    <row r="18" spans="1:10" s="65" customFormat="1" ht="28.5">
      <c r="A18" s="59"/>
      <c r="B18" s="60" t="s">
        <v>57</v>
      </c>
      <c r="C18" s="76" t="s">
        <v>58</v>
      </c>
      <c r="D18" s="61" t="s">
        <v>6</v>
      </c>
      <c r="E18" s="77">
        <v>2.06</v>
      </c>
      <c r="F18" s="62">
        <f>TRUNC(19.43,2)</f>
        <v>19.43</v>
      </c>
      <c r="G18" s="63">
        <f>TRUNC(E18*F18,2)</f>
        <v>40.02</v>
      </c>
      <c r="H18" s="63"/>
      <c r="I18" s="64"/>
      <c r="J18" s="66"/>
    </row>
    <row r="19" spans="1:10" s="65" customFormat="1" ht="14.25">
      <c r="A19" s="59"/>
      <c r="B19" s="60"/>
      <c r="C19" s="76"/>
      <c r="D19" s="61"/>
      <c r="E19" s="77" t="s">
        <v>7</v>
      </c>
      <c r="F19" s="62"/>
      <c r="G19" s="63">
        <f>TRUNC(SUM(G14:G18),2)</f>
        <v>169.7</v>
      </c>
      <c r="H19" s="63"/>
      <c r="I19" s="64"/>
      <c r="J19" s="66"/>
    </row>
    <row r="20" spans="1:10" s="65" customFormat="1" ht="28.5">
      <c r="A20" s="143" t="s">
        <v>9</v>
      </c>
      <c r="B20" s="144" t="s">
        <v>134</v>
      </c>
      <c r="C20" s="145" t="s">
        <v>110</v>
      </c>
      <c r="D20" s="146" t="s">
        <v>1</v>
      </c>
      <c r="E20" s="147">
        <v>1.73</v>
      </c>
      <c r="F20" s="148">
        <f>TRUNC(G23,2)</f>
        <v>68.98</v>
      </c>
      <c r="G20" s="139">
        <f>TRUNC(F20*1.2882,2)</f>
        <v>88.86</v>
      </c>
      <c r="H20" s="139">
        <f>TRUNC(F20*E20,2)</f>
        <v>119.33</v>
      </c>
      <c r="I20" s="140">
        <f>TRUNC(E20*G20,2)</f>
        <v>153.72</v>
      </c>
      <c r="J20" s="66"/>
    </row>
    <row r="21" spans="1:10" s="65" customFormat="1" ht="28.5">
      <c r="A21" s="59"/>
      <c r="B21" s="60" t="s">
        <v>53</v>
      </c>
      <c r="C21" s="76" t="s">
        <v>54</v>
      </c>
      <c r="D21" s="61" t="s">
        <v>6</v>
      </c>
      <c r="E21" s="77">
        <v>4.635</v>
      </c>
      <c r="F21" s="62">
        <f>TRUNC(13.08,2)</f>
        <v>13.08</v>
      </c>
      <c r="G21" s="63">
        <f>TRUNC(E21*F21,2)</f>
        <v>60.62</v>
      </c>
      <c r="H21" s="63"/>
      <c r="I21" s="64"/>
      <c r="J21" s="66"/>
    </row>
    <row r="22" spans="1:10" s="65" customFormat="1" ht="14.25">
      <c r="A22" s="59"/>
      <c r="B22" s="60" t="s">
        <v>59</v>
      </c>
      <c r="C22" s="76" t="s">
        <v>60</v>
      </c>
      <c r="D22" s="61" t="s">
        <v>6</v>
      </c>
      <c r="E22" s="77">
        <v>0.4635</v>
      </c>
      <c r="F22" s="62">
        <f>TRUNC(18.05,2)</f>
        <v>18.05</v>
      </c>
      <c r="G22" s="63">
        <f>TRUNC(E22*F22,2)</f>
        <v>8.36</v>
      </c>
      <c r="H22" s="63"/>
      <c r="I22" s="64"/>
      <c r="J22" s="66"/>
    </row>
    <row r="23" spans="1:10" s="65" customFormat="1" ht="14.25">
      <c r="A23" s="59"/>
      <c r="B23" s="60"/>
      <c r="C23" s="76"/>
      <c r="D23" s="61"/>
      <c r="E23" s="77" t="s">
        <v>7</v>
      </c>
      <c r="F23" s="62"/>
      <c r="G23" s="63">
        <f>TRUNC(SUM(G21:G22),2)</f>
        <v>68.98</v>
      </c>
      <c r="H23" s="63"/>
      <c r="I23" s="64"/>
      <c r="J23" s="66"/>
    </row>
    <row r="24" spans="1:10" s="65" customFormat="1" ht="28.5">
      <c r="A24" s="143" t="s">
        <v>10</v>
      </c>
      <c r="B24" s="144" t="s">
        <v>171</v>
      </c>
      <c r="C24" s="145" t="s">
        <v>172</v>
      </c>
      <c r="D24" s="146" t="s">
        <v>12</v>
      </c>
      <c r="E24" s="147">
        <v>3</v>
      </c>
      <c r="F24" s="148">
        <f>TRUNC(G27,2)</f>
        <v>19.04</v>
      </c>
      <c r="G24" s="139">
        <f>TRUNC(F24*1.2882,2)</f>
        <v>24.52</v>
      </c>
      <c r="H24" s="139">
        <f>TRUNC(F24*E24,2)</f>
        <v>57.12</v>
      </c>
      <c r="I24" s="140">
        <f>TRUNC(E24*G24,2)</f>
        <v>73.56</v>
      </c>
      <c r="J24" s="66"/>
    </row>
    <row r="25" spans="1:10" s="65" customFormat="1" ht="28.5">
      <c r="A25" s="59"/>
      <c r="B25" s="60" t="s">
        <v>53</v>
      </c>
      <c r="C25" s="76" t="s">
        <v>54</v>
      </c>
      <c r="D25" s="61" t="s">
        <v>6</v>
      </c>
      <c r="E25" s="77">
        <v>1.03</v>
      </c>
      <c r="F25" s="62">
        <f>TRUNC(13.08,2)</f>
        <v>13.08</v>
      </c>
      <c r="G25" s="63">
        <f>TRUNC(E25*F25,2)</f>
        <v>13.47</v>
      </c>
      <c r="H25" s="63"/>
      <c r="I25" s="64"/>
      <c r="J25" s="66"/>
    </row>
    <row r="26" spans="1:10" s="65" customFormat="1" ht="14.25">
      <c r="A26" s="59"/>
      <c r="B26" s="60" t="s">
        <v>59</v>
      </c>
      <c r="C26" s="76" t="s">
        <v>60</v>
      </c>
      <c r="D26" s="61" t="s">
        <v>6</v>
      </c>
      <c r="E26" s="77">
        <v>0.309</v>
      </c>
      <c r="F26" s="62">
        <f>TRUNC(18.05,2)</f>
        <v>18.05</v>
      </c>
      <c r="G26" s="63">
        <f>TRUNC(E26*F26,2)</f>
        <v>5.57</v>
      </c>
      <c r="H26" s="63"/>
      <c r="I26" s="64"/>
      <c r="J26" s="66"/>
    </row>
    <row r="27" spans="1:10" s="65" customFormat="1" ht="14.25">
      <c r="A27" s="59"/>
      <c r="B27" s="60"/>
      <c r="C27" s="76"/>
      <c r="D27" s="61"/>
      <c r="E27" s="77" t="s">
        <v>7</v>
      </c>
      <c r="F27" s="62"/>
      <c r="G27" s="63">
        <f>TRUNC(SUM(G25:G26),2)</f>
        <v>19.04</v>
      </c>
      <c r="H27" s="63"/>
      <c r="I27" s="64"/>
      <c r="J27" s="66"/>
    </row>
    <row r="28" spans="1:10" s="65" customFormat="1" ht="42.75">
      <c r="A28" s="143" t="s">
        <v>11</v>
      </c>
      <c r="B28" s="144" t="s">
        <v>173</v>
      </c>
      <c r="C28" s="145" t="s">
        <v>174</v>
      </c>
      <c r="D28" s="146" t="s">
        <v>0</v>
      </c>
      <c r="E28" s="147">
        <v>94.14</v>
      </c>
      <c r="F28" s="148">
        <f>TRUNC(G31,2)</f>
        <v>11.69</v>
      </c>
      <c r="G28" s="139">
        <f>TRUNC(F28*1.2882,2)</f>
        <v>15.05</v>
      </c>
      <c r="H28" s="139">
        <f>TRUNC(F28*E28,2)</f>
        <v>1100.49</v>
      </c>
      <c r="I28" s="140">
        <f>TRUNC(E28*G28,2)</f>
        <v>1416.8</v>
      </c>
      <c r="J28" s="66"/>
    </row>
    <row r="29" spans="1:10" s="65" customFormat="1" ht="28.5">
      <c r="A29" s="59"/>
      <c r="B29" s="60" t="s">
        <v>53</v>
      </c>
      <c r="C29" s="76" t="s">
        <v>54</v>
      </c>
      <c r="D29" s="61" t="s">
        <v>6</v>
      </c>
      <c r="E29" s="77">
        <v>0.37595</v>
      </c>
      <c r="F29" s="62">
        <f>TRUNC(13.08,2)</f>
        <v>13.08</v>
      </c>
      <c r="G29" s="63">
        <f>TRUNC(E29*F29,2)</f>
        <v>4.91</v>
      </c>
      <c r="H29" s="63"/>
      <c r="I29" s="64"/>
      <c r="J29" s="66"/>
    </row>
    <row r="30" spans="1:10" s="65" customFormat="1" ht="28.5">
      <c r="A30" s="59"/>
      <c r="B30" s="60" t="s">
        <v>72</v>
      </c>
      <c r="C30" s="76" t="s">
        <v>61</v>
      </c>
      <c r="D30" s="61" t="s">
        <v>6</v>
      </c>
      <c r="E30" s="77">
        <v>0.37595</v>
      </c>
      <c r="F30" s="62">
        <f>TRUNC(18.05,2)</f>
        <v>18.05</v>
      </c>
      <c r="G30" s="63">
        <f>TRUNC(E30*F30,2)</f>
        <v>6.78</v>
      </c>
      <c r="H30" s="63"/>
      <c r="I30" s="64"/>
      <c r="J30" s="66"/>
    </row>
    <row r="31" spans="1:10" s="65" customFormat="1" ht="14.25">
      <c r="A31" s="59"/>
      <c r="B31" s="60"/>
      <c r="C31" s="76"/>
      <c r="D31" s="61"/>
      <c r="E31" s="77" t="s">
        <v>7</v>
      </c>
      <c r="F31" s="62"/>
      <c r="G31" s="63">
        <f>TRUNC(SUM(G29:G30),2)</f>
        <v>11.69</v>
      </c>
      <c r="H31" s="63"/>
      <c r="I31" s="64"/>
      <c r="J31" s="66"/>
    </row>
    <row r="32" spans="1:10" s="65" customFormat="1" ht="42.75">
      <c r="A32" s="143" t="s">
        <v>243</v>
      </c>
      <c r="B32" s="144" t="s">
        <v>131</v>
      </c>
      <c r="C32" s="145" t="s">
        <v>109</v>
      </c>
      <c r="D32" s="146" t="s">
        <v>0</v>
      </c>
      <c r="E32" s="147">
        <v>1.8</v>
      </c>
      <c r="F32" s="148">
        <f>TRUNC(G35,2)</f>
        <v>50.21</v>
      </c>
      <c r="G32" s="139">
        <f>TRUNC(F32*1.2882,2)</f>
        <v>64.68</v>
      </c>
      <c r="H32" s="139">
        <f>TRUNC(F32*E32,2)</f>
        <v>90.37</v>
      </c>
      <c r="I32" s="140">
        <f>TRUNC(E32*G32,2)</f>
        <v>116.42</v>
      </c>
      <c r="J32" s="66"/>
    </row>
    <row r="33" spans="1:10" s="65" customFormat="1" ht="28.5">
      <c r="A33" s="59"/>
      <c r="B33" s="60" t="s">
        <v>53</v>
      </c>
      <c r="C33" s="76" t="s">
        <v>54</v>
      </c>
      <c r="D33" s="61" t="s">
        <v>6</v>
      </c>
      <c r="E33" s="77">
        <v>1.545</v>
      </c>
      <c r="F33" s="62">
        <f>TRUNC(13.08,2)</f>
        <v>13.08</v>
      </c>
      <c r="G33" s="63">
        <f>TRUNC(E33*F33,2)</f>
        <v>20.2</v>
      </c>
      <c r="H33" s="63"/>
      <c r="I33" s="64"/>
      <c r="J33" s="66"/>
    </row>
    <row r="34" spans="1:10" s="65" customFormat="1" ht="14.25">
      <c r="A34" s="59"/>
      <c r="B34" s="60" t="s">
        <v>132</v>
      </c>
      <c r="C34" s="76" t="s">
        <v>133</v>
      </c>
      <c r="D34" s="61" t="s">
        <v>6</v>
      </c>
      <c r="E34" s="77">
        <v>1.545</v>
      </c>
      <c r="F34" s="62">
        <f>TRUNC(19.43,2)</f>
        <v>19.43</v>
      </c>
      <c r="G34" s="63">
        <f>TRUNC(E34*F34,2)</f>
        <v>30.01</v>
      </c>
      <c r="H34" s="63"/>
      <c r="I34" s="64"/>
      <c r="J34" s="66"/>
    </row>
    <row r="35" spans="1:10" s="65" customFormat="1" ht="14.25">
      <c r="A35" s="59"/>
      <c r="B35" s="60"/>
      <c r="C35" s="76"/>
      <c r="D35" s="61"/>
      <c r="E35" s="77" t="s">
        <v>7</v>
      </c>
      <c r="F35" s="62"/>
      <c r="G35" s="63">
        <f>TRUNC(SUM(G33:G34),2)</f>
        <v>50.21</v>
      </c>
      <c r="H35" s="63"/>
      <c r="I35" s="64"/>
      <c r="J35" s="66"/>
    </row>
    <row r="36" spans="1:9" s="44" customFormat="1" ht="15.75">
      <c r="A36" s="53" t="s">
        <v>44</v>
      </c>
      <c r="C36" s="54"/>
      <c r="D36" s="55"/>
      <c r="E36" s="55"/>
      <c r="F36" s="55"/>
      <c r="G36" s="55" t="s">
        <v>46</v>
      </c>
      <c r="H36" s="57">
        <f>H13+H20+H24+H28+H32</f>
        <v>2385.5099999999998</v>
      </c>
      <c r="I36" s="57">
        <f>I13+I20+I24+I28+I32</f>
        <v>3072.1</v>
      </c>
    </row>
    <row r="37" spans="1:9" s="43" customFormat="1" ht="15.75">
      <c r="A37" s="43" t="s">
        <v>16</v>
      </c>
      <c r="B37" s="51"/>
      <c r="C37" s="52" t="s">
        <v>98</v>
      </c>
      <c r="D37" s="52"/>
      <c r="E37" s="52"/>
      <c r="F37" s="52"/>
      <c r="G37" s="52"/>
      <c r="H37" s="52"/>
      <c r="I37" s="50"/>
    </row>
    <row r="38" spans="1:9" s="137" customFormat="1" ht="57">
      <c r="A38" s="137" t="s">
        <v>244</v>
      </c>
      <c r="B38" s="137" t="s">
        <v>135</v>
      </c>
      <c r="C38" s="137" t="s">
        <v>113</v>
      </c>
      <c r="D38" s="137" t="s">
        <v>0</v>
      </c>
      <c r="E38" s="137">
        <v>9.04</v>
      </c>
      <c r="F38" s="138">
        <f>TRUNC(G44,2)</f>
        <v>35.97</v>
      </c>
      <c r="G38" s="139">
        <f>TRUNC(F38*1.2882,2)</f>
        <v>46.33</v>
      </c>
      <c r="H38" s="139">
        <f>TRUNC(F38*E38,2)</f>
        <v>325.16</v>
      </c>
      <c r="I38" s="140">
        <f>TRUNC(E38*G38,2)</f>
        <v>418.82</v>
      </c>
    </row>
    <row r="39" spans="2:9" s="67" customFormat="1" ht="14.25">
      <c r="B39" s="67" t="s">
        <v>80</v>
      </c>
      <c r="C39" s="67" t="s">
        <v>81</v>
      </c>
      <c r="D39" s="67" t="s">
        <v>12</v>
      </c>
      <c r="E39" s="67">
        <v>17</v>
      </c>
      <c r="F39" s="68">
        <f>TRUNC(0.72,2)</f>
        <v>0.72</v>
      </c>
      <c r="G39" s="63">
        <f>TRUNC(E39*F39,2)</f>
        <v>12.24</v>
      </c>
      <c r="H39" s="63"/>
      <c r="I39" s="64"/>
    </row>
    <row r="40" spans="2:9" s="67" customFormat="1" ht="14.25">
      <c r="B40" s="67" t="s">
        <v>82</v>
      </c>
      <c r="C40" s="67" t="s">
        <v>83</v>
      </c>
      <c r="D40" s="67" t="s">
        <v>12</v>
      </c>
      <c r="E40" s="67">
        <v>1</v>
      </c>
      <c r="F40" s="68">
        <f>TRUNC(0.48,2)</f>
        <v>0.48</v>
      </c>
      <c r="G40" s="63">
        <f>TRUNC(E40*F40,2)</f>
        <v>0.48</v>
      </c>
      <c r="H40" s="63"/>
      <c r="I40" s="64"/>
    </row>
    <row r="41" spans="2:9" s="67" customFormat="1" ht="28.5">
      <c r="B41" s="67" t="s">
        <v>53</v>
      </c>
      <c r="C41" s="67" t="s">
        <v>54</v>
      </c>
      <c r="D41" s="67" t="s">
        <v>6</v>
      </c>
      <c r="E41" s="67">
        <v>0.41200000000000003</v>
      </c>
      <c r="F41" s="68">
        <f>TRUNC(13.08,2)</f>
        <v>13.08</v>
      </c>
      <c r="G41" s="63">
        <f>TRUNC(E41*F41,2)</f>
        <v>5.38</v>
      </c>
      <c r="H41" s="63"/>
      <c r="I41" s="64"/>
    </row>
    <row r="42" spans="2:9" s="67" customFormat="1" ht="14.25">
      <c r="B42" s="67" t="s">
        <v>59</v>
      </c>
      <c r="C42" s="67" t="s">
        <v>60</v>
      </c>
      <c r="D42" s="67" t="s">
        <v>6</v>
      </c>
      <c r="E42" s="67">
        <v>0.8343</v>
      </c>
      <c r="F42" s="68">
        <f>TRUNC(18.05,2)</f>
        <v>18.05</v>
      </c>
      <c r="G42" s="63">
        <f>TRUNC(E42*F42,2)</f>
        <v>15.05</v>
      </c>
      <c r="H42" s="63"/>
      <c r="I42" s="64"/>
    </row>
    <row r="43" spans="2:9" s="67" customFormat="1" ht="14.25">
      <c r="B43" s="67" t="s">
        <v>136</v>
      </c>
      <c r="C43" s="67" t="s">
        <v>137</v>
      </c>
      <c r="D43" s="67" t="s">
        <v>1</v>
      </c>
      <c r="E43" s="67">
        <v>0.01</v>
      </c>
      <c r="F43" s="68">
        <f>TRUNC(282.2043,2)</f>
        <v>282.2</v>
      </c>
      <c r="G43" s="63">
        <f>TRUNC(E43*F43,2)</f>
        <v>2.82</v>
      </c>
      <c r="H43" s="63"/>
      <c r="I43" s="64"/>
    </row>
    <row r="44" spans="5:9" s="67" customFormat="1" ht="14.25">
      <c r="E44" s="67" t="s">
        <v>7</v>
      </c>
      <c r="F44" s="68"/>
      <c r="G44" s="63">
        <f>TRUNC(SUM(G39:G43),2)</f>
        <v>35.97</v>
      </c>
      <c r="H44" s="63"/>
      <c r="I44" s="64"/>
    </row>
    <row r="45" spans="1:9" s="137" customFormat="1" ht="57">
      <c r="A45" s="137" t="s">
        <v>99</v>
      </c>
      <c r="B45" s="137" t="s">
        <v>142</v>
      </c>
      <c r="C45" s="137" t="s">
        <v>114</v>
      </c>
      <c r="D45" s="137" t="s">
        <v>0</v>
      </c>
      <c r="E45" s="137">
        <v>1.8</v>
      </c>
      <c r="F45" s="138">
        <f>TRUNC(G52,2)</f>
        <v>56.21</v>
      </c>
      <c r="G45" s="139">
        <f>TRUNC(F45*1.2882,2)</f>
        <v>72.4</v>
      </c>
      <c r="H45" s="139">
        <f>TRUNC(F45*E45,2)</f>
        <v>101.17</v>
      </c>
      <c r="I45" s="140">
        <f>TRUNC(E45*G45,2)</f>
        <v>130.32</v>
      </c>
    </row>
    <row r="46" spans="2:9" s="67" customFormat="1" ht="14.25">
      <c r="B46" s="67" t="s">
        <v>115</v>
      </c>
      <c r="C46" s="67" t="s">
        <v>116</v>
      </c>
      <c r="D46" s="67" t="s">
        <v>12</v>
      </c>
      <c r="E46" s="67">
        <v>0.32</v>
      </c>
      <c r="F46" s="68">
        <f>TRUNC(8.4,2)</f>
        <v>8.4</v>
      </c>
      <c r="G46" s="63">
        <f>TRUNC(E46*F46,2)</f>
        <v>2.68</v>
      </c>
      <c r="H46" s="63"/>
      <c r="I46" s="64"/>
    </row>
    <row r="47" spans="2:9" s="67" customFormat="1" ht="14.25">
      <c r="B47" s="67" t="s">
        <v>117</v>
      </c>
      <c r="C47" s="67" t="s">
        <v>118</v>
      </c>
      <c r="D47" s="67" t="s">
        <v>12</v>
      </c>
      <c r="E47" s="67">
        <v>0.2</v>
      </c>
      <c r="F47" s="68">
        <f>TRUNC(20,2)</f>
        <v>20</v>
      </c>
      <c r="G47" s="63">
        <f>TRUNC(E47*F47,2)</f>
        <v>4</v>
      </c>
      <c r="H47" s="63"/>
      <c r="I47" s="64"/>
    </row>
    <row r="48" spans="2:9" s="67" customFormat="1" ht="14.25">
      <c r="B48" s="67" t="s">
        <v>119</v>
      </c>
      <c r="C48" s="67" t="s">
        <v>120</v>
      </c>
      <c r="D48" s="67" t="s">
        <v>5</v>
      </c>
      <c r="E48" s="67">
        <v>32</v>
      </c>
      <c r="F48" s="68">
        <f>TRUNC(0.36,2)</f>
        <v>0.36</v>
      </c>
      <c r="G48" s="63">
        <f>TRUNC(E48*F48,2)</f>
        <v>11.52</v>
      </c>
      <c r="H48" s="63"/>
      <c r="I48" s="64"/>
    </row>
    <row r="49" spans="2:9" s="67" customFormat="1" ht="28.5">
      <c r="B49" s="67" t="s">
        <v>53</v>
      </c>
      <c r="C49" s="67" t="s">
        <v>54</v>
      </c>
      <c r="D49" s="67" t="s">
        <v>6</v>
      </c>
      <c r="E49" s="67">
        <v>1.03</v>
      </c>
      <c r="F49" s="68">
        <f>TRUNC(13.08,2)</f>
        <v>13.08</v>
      </c>
      <c r="G49" s="63">
        <f>TRUNC(E49*F49,2)</f>
        <v>13.47</v>
      </c>
      <c r="H49" s="63"/>
      <c r="I49" s="64"/>
    </row>
    <row r="50" spans="2:9" s="67" customFormat="1" ht="14.25">
      <c r="B50" s="67" t="s">
        <v>132</v>
      </c>
      <c r="C50" s="67" t="s">
        <v>133</v>
      </c>
      <c r="D50" s="67" t="s">
        <v>6</v>
      </c>
      <c r="E50" s="67">
        <v>1.03</v>
      </c>
      <c r="F50" s="68">
        <f>TRUNC(19.43,2)</f>
        <v>19.43</v>
      </c>
      <c r="G50" s="63">
        <f>TRUNC(E50*F50,2)</f>
        <v>20.01</v>
      </c>
      <c r="H50" s="63"/>
      <c r="I50" s="64"/>
    </row>
    <row r="51" spans="2:9" s="67" customFormat="1" ht="28.5">
      <c r="B51" s="67" t="s">
        <v>86</v>
      </c>
      <c r="C51" s="67" t="s">
        <v>87</v>
      </c>
      <c r="D51" s="67" t="s">
        <v>0</v>
      </c>
      <c r="E51" s="67">
        <v>1</v>
      </c>
      <c r="F51" s="68">
        <f>TRUNC(4.5364,2)</f>
        <v>4.53</v>
      </c>
      <c r="G51" s="63">
        <f>TRUNC(E51*F51,2)</f>
        <v>4.53</v>
      </c>
      <c r="H51" s="63"/>
      <c r="I51" s="64"/>
    </row>
    <row r="52" spans="5:9" s="67" customFormat="1" ht="14.25">
      <c r="E52" s="67" t="s">
        <v>7</v>
      </c>
      <c r="F52" s="68"/>
      <c r="G52" s="63">
        <f>TRUNC(SUM(G46:G51),2)</f>
        <v>56.21</v>
      </c>
      <c r="H52" s="63"/>
      <c r="I52" s="64"/>
    </row>
    <row r="53" spans="1:9" s="137" customFormat="1" ht="42.75">
      <c r="A53" s="137" t="s">
        <v>245</v>
      </c>
      <c r="B53" s="137" t="s">
        <v>84</v>
      </c>
      <c r="C53" s="137" t="s">
        <v>85</v>
      </c>
      <c r="D53" s="137" t="s">
        <v>0</v>
      </c>
      <c r="E53" s="137">
        <v>22.62</v>
      </c>
      <c r="F53" s="138">
        <f>TRUNC(G58,2)</f>
        <v>23.72</v>
      </c>
      <c r="G53" s="139">
        <f>TRUNC(F53*1.2882,2)</f>
        <v>30.55</v>
      </c>
      <c r="H53" s="139">
        <f>TRUNC(F53*E53,2)</f>
        <v>536.54</v>
      </c>
      <c r="I53" s="140">
        <f>TRUNC(E53*G53,2)</f>
        <v>691.04</v>
      </c>
    </row>
    <row r="54" spans="2:9" s="67" customFormat="1" ht="28.5">
      <c r="B54" s="67" t="s">
        <v>53</v>
      </c>
      <c r="C54" s="67" t="s">
        <v>54</v>
      </c>
      <c r="D54" s="67" t="s">
        <v>6</v>
      </c>
      <c r="E54" s="67">
        <v>0.41200000000000003</v>
      </c>
      <c r="F54" s="68">
        <f>TRUNC(13.08,2)</f>
        <v>13.08</v>
      </c>
      <c r="G54" s="63">
        <f>TRUNC(E54*F54,2)</f>
        <v>5.38</v>
      </c>
      <c r="H54" s="63"/>
      <c r="I54" s="64"/>
    </row>
    <row r="55" spans="2:9" s="67" customFormat="1" ht="14.25">
      <c r="B55" s="67" t="s">
        <v>59</v>
      </c>
      <c r="C55" s="67" t="s">
        <v>60</v>
      </c>
      <c r="D55" s="67" t="s">
        <v>6</v>
      </c>
      <c r="E55" s="67">
        <v>0.41200000000000003</v>
      </c>
      <c r="F55" s="68">
        <f>TRUNC(18.05,2)</f>
        <v>18.05</v>
      </c>
      <c r="G55" s="63">
        <f>TRUNC(E55*F55,2)</f>
        <v>7.43</v>
      </c>
      <c r="H55" s="63"/>
      <c r="I55" s="64"/>
    </row>
    <row r="56" spans="2:9" s="67" customFormat="1" ht="28.5">
      <c r="B56" s="67" t="s">
        <v>86</v>
      </c>
      <c r="C56" s="67" t="s">
        <v>87</v>
      </c>
      <c r="D56" s="67" t="s">
        <v>0</v>
      </c>
      <c r="E56" s="67">
        <v>1</v>
      </c>
      <c r="F56" s="68">
        <f>TRUNC(4.5364,2)</f>
        <v>4.53</v>
      </c>
      <c r="G56" s="63">
        <f>TRUNC(E56*F56,2)</f>
        <v>4.53</v>
      </c>
      <c r="H56" s="63"/>
      <c r="I56" s="64"/>
    </row>
    <row r="57" spans="2:9" s="67" customFormat="1" ht="14.25">
      <c r="B57" s="67" t="s">
        <v>77</v>
      </c>
      <c r="C57" s="67" t="s">
        <v>78</v>
      </c>
      <c r="D57" s="67" t="s">
        <v>1</v>
      </c>
      <c r="E57" s="67">
        <v>0.024</v>
      </c>
      <c r="F57" s="68">
        <f>TRUNC(266.0371,2)</f>
        <v>266.03</v>
      </c>
      <c r="G57" s="63">
        <f>TRUNC(E57*F57,2)</f>
        <v>6.38</v>
      </c>
      <c r="H57" s="63"/>
      <c r="I57" s="64"/>
    </row>
    <row r="58" spans="5:9" s="67" customFormat="1" ht="14.25">
      <c r="E58" s="67" t="s">
        <v>7</v>
      </c>
      <c r="F58" s="68"/>
      <c r="G58" s="63">
        <f>TRUNC(SUM(G54:G57),2)</f>
        <v>23.72</v>
      </c>
      <c r="H58" s="63"/>
      <c r="I58" s="64"/>
    </row>
    <row r="59" spans="1:9" s="137" customFormat="1" ht="28.5">
      <c r="A59" s="137" t="s">
        <v>100</v>
      </c>
      <c r="B59" s="137" t="s">
        <v>311</v>
      </c>
      <c r="C59" s="137" t="s">
        <v>175</v>
      </c>
      <c r="D59" s="137" t="s">
        <v>3</v>
      </c>
      <c r="E59" s="137">
        <v>6</v>
      </c>
      <c r="F59" s="138">
        <f>TRUNC(G68,2)</f>
        <v>53.05</v>
      </c>
      <c r="G59" s="139">
        <f>TRUNC(F59*1.2882,2)</f>
        <v>68.33</v>
      </c>
      <c r="H59" s="139">
        <f>TRUNC(F59*E59,2)</f>
        <v>318.3</v>
      </c>
      <c r="I59" s="140">
        <f>TRUNC(E59*G59,2)</f>
        <v>409.98</v>
      </c>
    </row>
    <row r="60" spans="2:9" s="67" customFormat="1" ht="28.5">
      <c r="B60" s="67" t="s">
        <v>312</v>
      </c>
      <c r="C60" s="67" t="s">
        <v>176</v>
      </c>
      <c r="D60" s="67" t="s">
        <v>12</v>
      </c>
      <c r="E60" s="67">
        <v>6</v>
      </c>
      <c r="F60" s="68">
        <f>TRUNC(0.25,2)</f>
        <v>0.25</v>
      </c>
      <c r="G60" s="63">
        <f>TRUNC(E60*F60,2)</f>
        <v>1.5</v>
      </c>
      <c r="H60" s="63"/>
      <c r="I60" s="64"/>
    </row>
    <row r="61" spans="2:9" s="67" customFormat="1" ht="28.5">
      <c r="B61" s="67" t="s">
        <v>313</v>
      </c>
      <c r="C61" s="67" t="s">
        <v>177</v>
      </c>
      <c r="D61" s="67" t="s">
        <v>3</v>
      </c>
      <c r="E61" s="67">
        <v>0.22</v>
      </c>
      <c r="F61" s="68">
        <f>TRUNC(4.08,2)</f>
        <v>4.08</v>
      </c>
      <c r="G61" s="63">
        <f>TRUNC(E61*F61,2)</f>
        <v>0.89</v>
      </c>
      <c r="H61" s="63"/>
      <c r="I61" s="64"/>
    </row>
    <row r="62" spans="2:9" s="67" customFormat="1" ht="28.5">
      <c r="B62" s="67" t="s">
        <v>314</v>
      </c>
      <c r="C62" s="67" t="s">
        <v>178</v>
      </c>
      <c r="D62" s="67" t="s">
        <v>108</v>
      </c>
      <c r="E62" s="67">
        <v>0.007</v>
      </c>
      <c r="F62" s="68">
        <f>TRUNC(6.39,2)</f>
        <v>6.39</v>
      </c>
      <c r="G62" s="63">
        <f>TRUNC(E62*F62,2)</f>
        <v>0.04</v>
      </c>
      <c r="H62" s="63"/>
      <c r="I62" s="64"/>
    </row>
    <row r="63" spans="2:9" s="67" customFormat="1" ht="14.25">
      <c r="B63" s="67" t="s">
        <v>315</v>
      </c>
      <c r="C63" s="67" t="s">
        <v>71</v>
      </c>
      <c r="D63" s="67" t="s">
        <v>6</v>
      </c>
      <c r="E63" s="67">
        <v>0.18</v>
      </c>
      <c r="F63" s="68">
        <f>TRUNC(19.85,2)</f>
        <v>19.85</v>
      </c>
      <c r="G63" s="63">
        <f>TRUNC(E63*F63,2)</f>
        <v>3.57</v>
      </c>
      <c r="H63" s="63"/>
      <c r="I63" s="64"/>
    </row>
    <row r="64" spans="2:9" s="67" customFormat="1" ht="14.25">
      <c r="B64" s="67" t="s">
        <v>316</v>
      </c>
      <c r="C64" s="67" t="s">
        <v>79</v>
      </c>
      <c r="D64" s="67" t="s">
        <v>6</v>
      </c>
      <c r="E64" s="67">
        <v>0.36</v>
      </c>
      <c r="F64" s="68">
        <f>TRUNC(25.18,2)</f>
        <v>25.18</v>
      </c>
      <c r="G64" s="63">
        <f>TRUNC(E64*F64,2)</f>
        <v>9.06</v>
      </c>
      <c r="H64" s="63"/>
      <c r="I64" s="64"/>
    </row>
    <row r="65" spans="2:9" s="67" customFormat="1" ht="28.5">
      <c r="B65" s="67" t="s">
        <v>317</v>
      </c>
      <c r="C65" s="67" t="s">
        <v>318</v>
      </c>
      <c r="D65" s="67" t="s">
        <v>1</v>
      </c>
      <c r="E65" s="67">
        <v>0.024</v>
      </c>
      <c r="F65" s="68">
        <f>TRUNC(270.03,2)</f>
        <v>270.03</v>
      </c>
      <c r="G65" s="63">
        <f>TRUNC(E65*F65,2)</f>
        <v>6.48</v>
      </c>
      <c r="H65" s="63"/>
      <c r="I65" s="64"/>
    </row>
    <row r="66" spans="2:9" s="67" customFormat="1" ht="28.5">
      <c r="B66" s="67" t="s">
        <v>319</v>
      </c>
      <c r="C66" s="67" t="s">
        <v>320</v>
      </c>
      <c r="D66" s="67" t="s">
        <v>5</v>
      </c>
      <c r="E66" s="67">
        <v>0.79</v>
      </c>
      <c r="F66" s="68">
        <f>TRUNC(7.06,2)</f>
        <v>7.06</v>
      </c>
      <c r="G66" s="63">
        <f>TRUNC(E66*F66,2)</f>
        <v>5.57</v>
      </c>
      <c r="H66" s="63"/>
      <c r="I66" s="64"/>
    </row>
    <row r="67" spans="2:9" s="67" customFormat="1" ht="28.5">
      <c r="B67" s="67" t="s">
        <v>321</v>
      </c>
      <c r="C67" s="67" t="s">
        <v>322</v>
      </c>
      <c r="D67" s="67" t="s">
        <v>0</v>
      </c>
      <c r="E67" s="67">
        <v>0.4</v>
      </c>
      <c r="F67" s="68">
        <f>TRUNC(64.85,2)</f>
        <v>64.85</v>
      </c>
      <c r="G67" s="63">
        <f>TRUNC(E67*F67,2)</f>
        <v>25.94</v>
      </c>
      <c r="H67" s="63"/>
      <c r="I67" s="64"/>
    </row>
    <row r="68" spans="5:9" s="67" customFormat="1" ht="14.25">
      <c r="E68" s="67" t="s">
        <v>7</v>
      </c>
      <c r="F68" s="68"/>
      <c r="G68" s="63">
        <f>TRUNC(SUM(G60:G67),2)</f>
        <v>53.05</v>
      </c>
      <c r="H68" s="63"/>
      <c r="I68" s="64"/>
    </row>
    <row r="69" spans="1:9" s="137" customFormat="1" ht="42.75">
      <c r="A69" s="137" t="s">
        <v>246</v>
      </c>
      <c r="B69" s="137" t="s">
        <v>179</v>
      </c>
      <c r="C69" s="137" t="s">
        <v>180</v>
      </c>
      <c r="D69" s="137" t="s">
        <v>3</v>
      </c>
      <c r="E69" s="137">
        <v>6</v>
      </c>
      <c r="F69" s="138">
        <f>TRUNC(G76,2)</f>
        <v>77.9</v>
      </c>
      <c r="G69" s="139">
        <f>TRUNC(F69*1.2882,2)</f>
        <v>100.35</v>
      </c>
      <c r="H69" s="139">
        <f>TRUNC(F69*E69,2)</f>
        <v>467.4</v>
      </c>
      <c r="I69" s="140">
        <f>TRUNC(E69*G69,2)</f>
        <v>602.1</v>
      </c>
    </row>
    <row r="70" spans="2:9" s="67" customFormat="1" ht="14.25">
      <c r="B70" s="67" t="s">
        <v>181</v>
      </c>
      <c r="C70" s="67" t="s">
        <v>182</v>
      </c>
      <c r="D70" s="67" t="s">
        <v>0</v>
      </c>
      <c r="E70" s="67">
        <v>0.22</v>
      </c>
      <c r="F70" s="68">
        <f>TRUNC(267,2)</f>
        <v>267</v>
      </c>
      <c r="G70" s="63">
        <f>TRUNC(E70*F70,2)</f>
        <v>58.74</v>
      </c>
      <c r="H70" s="63"/>
      <c r="I70" s="64"/>
    </row>
    <row r="71" spans="2:9" s="67" customFormat="1" ht="14.25">
      <c r="B71" s="67" t="s">
        <v>111</v>
      </c>
      <c r="C71" s="67" t="s">
        <v>112</v>
      </c>
      <c r="D71" s="67" t="s">
        <v>5</v>
      </c>
      <c r="E71" s="67">
        <v>0.4</v>
      </c>
      <c r="F71" s="68">
        <f>TRUNC(1.44,2)</f>
        <v>1.44</v>
      </c>
      <c r="G71" s="63">
        <f>TRUNC(E71*F71,2)</f>
        <v>0.57</v>
      </c>
      <c r="H71" s="63"/>
      <c r="I71" s="64"/>
    </row>
    <row r="72" spans="2:9" s="67" customFormat="1" ht="28.5">
      <c r="B72" s="67" t="s">
        <v>53</v>
      </c>
      <c r="C72" s="67" t="s">
        <v>54</v>
      </c>
      <c r="D72" s="67" t="s">
        <v>6</v>
      </c>
      <c r="E72" s="67">
        <v>0.5665000000000001</v>
      </c>
      <c r="F72" s="68">
        <f>TRUNC(13.08,2)</f>
        <v>13.08</v>
      </c>
      <c r="G72" s="63">
        <f>TRUNC(E72*F72,2)</f>
        <v>7.4</v>
      </c>
      <c r="H72" s="63"/>
      <c r="I72" s="64"/>
    </row>
    <row r="73" spans="2:9" s="67" customFormat="1" ht="28.5">
      <c r="B73" s="67" t="s">
        <v>143</v>
      </c>
      <c r="C73" s="67" t="s">
        <v>144</v>
      </c>
      <c r="D73" s="67" t="s">
        <v>6</v>
      </c>
      <c r="E73" s="67">
        <v>0.4635</v>
      </c>
      <c r="F73" s="68">
        <f>TRUNC(18.05,2)</f>
        <v>18.05</v>
      </c>
      <c r="G73" s="63">
        <f>TRUNC(E73*F73,2)</f>
        <v>8.36</v>
      </c>
      <c r="H73" s="63"/>
      <c r="I73" s="64"/>
    </row>
    <row r="74" spans="2:9" s="67" customFormat="1" ht="14.25">
      <c r="B74" s="67" t="s">
        <v>138</v>
      </c>
      <c r="C74" s="67" t="s">
        <v>139</v>
      </c>
      <c r="D74" s="67" t="s">
        <v>1</v>
      </c>
      <c r="E74" s="67">
        <v>0.008</v>
      </c>
      <c r="F74" s="68">
        <f>TRUNC(314.2639,2)</f>
        <v>314.26</v>
      </c>
      <c r="G74" s="63">
        <f>TRUNC(E74*F74,2)</f>
        <v>2.51</v>
      </c>
      <c r="H74" s="63"/>
      <c r="I74" s="64"/>
    </row>
    <row r="75" spans="2:9" s="67" customFormat="1" ht="14.25">
      <c r="B75" s="67" t="s">
        <v>140</v>
      </c>
      <c r="C75" s="67" t="s">
        <v>141</v>
      </c>
      <c r="D75" s="67" t="s">
        <v>1</v>
      </c>
      <c r="E75" s="67">
        <v>0.0006</v>
      </c>
      <c r="F75" s="68">
        <f>TRUNC(542.5016,2)</f>
        <v>542.5</v>
      </c>
      <c r="G75" s="63">
        <f>TRUNC(E75*F75,2)</f>
        <v>0.32</v>
      </c>
      <c r="H75" s="63"/>
      <c r="I75" s="64"/>
    </row>
    <row r="76" spans="5:9" s="67" customFormat="1" ht="14.25">
      <c r="E76" s="67" t="s">
        <v>7</v>
      </c>
      <c r="F76" s="68"/>
      <c r="G76" s="63">
        <f>TRUNC(SUM(G70:G75),2)</f>
        <v>77.9</v>
      </c>
      <c r="H76" s="63"/>
      <c r="I76" s="64"/>
    </row>
    <row r="77" spans="1:9" s="44" customFormat="1" ht="15.75">
      <c r="A77" s="53" t="s">
        <v>44</v>
      </c>
      <c r="B77" s="55"/>
      <c r="C77" s="54"/>
      <c r="D77" s="55"/>
      <c r="E77" s="55"/>
      <c r="F77" s="55"/>
      <c r="G77" s="55" t="s">
        <v>73</v>
      </c>
      <c r="H77" s="56">
        <f>H38+H45+H53+H59+H69</f>
        <v>1748.5700000000002</v>
      </c>
      <c r="I77" s="56">
        <f>I38+I45+I53+I59+I69</f>
        <v>2252.2599999999998</v>
      </c>
    </row>
    <row r="78" spans="1:9" s="43" customFormat="1" ht="15.75">
      <c r="A78" s="43" t="s">
        <v>17</v>
      </c>
      <c r="B78" s="51"/>
      <c r="C78" s="52" t="s">
        <v>170</v>
      </c>
      <c r="D78" s="52"/>
      <c r="E78" s="52"/>
      <c r="F78" s="52"/>
      <c r="G78" s="52"/>
      <c r="H78" s="52"/>
      <c r="I78" s="50"/>
    </row>
    <row r="79" spans="1:9" s="137" customFormat="1" ht="28.5">
      <c r="A79" s="137" t="s">
        <v>247</v>
      </c>
      <c r="B79" s="137" t="s">
        <v>323</v>
      </c>
      <c r="C79" s="137" t="s">
        <v>183</v>
      </c>
      <c r="D79" s="137" t="s">
        <v>0</v>
      </c>
      <c r="E79" s="137">
        <v>4.8</v>
      </c>
      <c r="F79" s="138">
        <f>TRUNC(G85,2)</f>
        <v>278.95</v>
      </c>
      <c r="G79" s="139">
        <f>TRUNC(F79*1.2882,2)</f>
        <v>359.34</v>
      </c>
      <c r="H79" s="139">
        <f>TRUNC(F79*E79,2)</f>
        <v>1338.96</v>
      </c>
      <c r="I79" s="140">
        <f>TRUNC(E79*G79,2)</f>
        <v>1724.83</v>
      </c>
    </row>
    <row r="80" spans="2:9" s="67" customFormat="1" ht="14.25">
      <c r="B80" s="67" t="s">
        <v>324</v>
      </c>
      <c r="C80" s="67" t="s">
        <v>184</v>
      </c>
      <c r="D80" s="67" t="s">
        <v>12</v>
      </c>
      <c r="E80" s="67">
        <v>0.56</v>
      </c>
      <c r="F80" s="68">
        <f>TRUNC(11.63,2)</f>
        <v>11.63</v>
      </c>
      <c r="G80" s="63">
        <f>TRUNC(E80*F80,2)</f>
        <v>6.51</v>
      </c>
      <c r="H80" s="63"/>
      <c r="I80" s="64"/>
    </row>
    <row r="81" spans="2:9" s="67" customFormat="1" ht="42.75">
      <c r="B81" s="67" t="s">
        <v>325</v>
      </c>
      <c r="C81" s="67" t="s">
        <v>185</v>
      </c>
      <c r="D81" s="67" t="s">
        <v>12</v>
      </c>
      <c r="E81" s="67">
        <v>0.556</v>
      </c>
      <c r="F81" s="68">
        <f>TRUNC(427.72,2)</f>
        <v>427.72</v>
      </c>
      <c r="G81" s="63">
        <f>TRUNC(E81*F81,2)</f>
        <v>237.81</v>
      </c>
      <c r="H81" s="63"/>
      <c r="I81" s="64"/>
    </row>
    <row r="82" spans="2:9" s="67" customFormat="1" ht="28.5">
      <c r="B82" s="67" t="s">
        <v>326</v>
      </c>
      <c r="C82" s="67" t="s">
        <v>186</v>
      </c>
      <c r="D82" s="67" t="s">
        <v>12</v>
      </c>
      <c r="E82" s="67">
        <v>7.3</v>
      </c>
      <c r="F82" s="68">
        <f>TRUNC(0.13,2)</f>
        <v>0.13</v>
      </c>
      <c r="G82" s="63">
        <f>TRUNC(E82*F82,2)</f>
        <v>0.94</v>
      </c>
      <c r="H82" s="63"/>
      <c r="I82" s="64"/>
    </row>
    <row r="83" spans="2:9" s="67" customFormat="1" ht="14.25">
      <c r="B83" s="67" t="s">
        <v>315</v>
      </c>
      <c r="C83" s="67" t="s">
        <v>71</v>
      </c>
      <c r="D83" s="67" t="s">
        <v>6</v>
      </c>
      <c r="E83" s="67">
        <v>0.48</v>
      </c>
      <c r="F83" s="68">
        <f>TRUNC(19.85,2)</f>
        <v>19.85</v>
      </c>
      <c r="G83" s="63">
        <f>TRUNC(E83*F83,2)</f>
        <v>9.52</v>
      </c>
      <c r="H83" s="63"/>
      <c r="I83" s="64"/>
    </row>
    <row r="84" spans="2:9" s="67" customFormat="1" ht="14.25">
      <c r="B84" s="67" t="s">
        <v>316</v>
      </c>
      <c r="C84" s="67" t="s">
        <v>79</v>
      </c>
      <c r="D84" s="67" t="s">
        <v>6</v>
      </c>
      <c r="E84" s="67">
        <v>0.96</v>
      </c>
      <c r="F84" s="68">
        <f>TRUNC(25.18,2)</f>
        <v>25.18</v>
      </c>
      <c r="G84" s="63">
        <f>TRUNC(E84*F84,2)</f>
        <v>24.17</v>
      </c>
      <c r="H84" s="63"/>
      <c r="I84" s="64"/>
    </row>
    <row r="85" spans="5:9" s="67" customFormat="1" ht="14.25">
      <c r="E85" s="67" t="s">
        <v>7</v>
      </c>
      <c r="F85" s="68"/>
      <c r="G85" s="63">
        <f>TRUNC(SUM(G80:G84),2)</f>
        <v>278.95</v>
      </c>
      <c r="H85" s="63"/>
      <c r="I85" s="64"/>
    </row>
    <row r="86" spans="1:9" s="44" customFormat="1" ht="15.75">
      <c r="A86" s="53" t="s">
        <v>44</v>
      </c>
      <c r="B86" s="55"/>
      <c r="C86" s="54"/>
      <c r="D86" s="55"/>
      <c r="E86" s="55"/>
      <c r="F86" s="55"/>
      <c r="G86" s="55" t="s">
        <v>45</v>
      </c>
      <c r="H86" s="58">
        <f>H79</f>
        <v>1338.96</v>
      </c>
      <c r="I86" s="58">
        <f>I79</f>
        <v>1724.83</v>
      </c>
    </row>
    <row r="87" spans="1:9" s="43" customFormat="1" ht="15.75">
      <c r="A87" s="43" t="s">
        <v>18</v>
      </c>
      <c r="B87" s="51"/>
      <c r="C87" s="52" t="s">
        <v>263</v>
      </c>
      <c r="D87" s="52"/>
      <c r="E87" s="52"/>
      <c r="F87" s="52"/>
      <c r="G87" s="52"/>
      <c r="H87" s="52"/>
      <c r="I87" s="50"/>
    </row>
    <row r="88" spans="1:9" s="137" customFormat="1" ht="71.25">
      <c r="A88" s="137" t="s">
        <v>13</v>
      </c>
      <c r="B88" s="137" t="s">
        <v>94</v>
      </c>
      <c r="C88" s="137" t="s">
        <v>95</v>
      </c>
      <c r="D88" s="137" t="s">
        <v>0</v>
      </c>
      <c r="E88" s="137">
        <v>59.69</v>
      </c>
      <c r="F88" s="138">
        <f>TRUNC(G94,2)</f>
        <v>13.86</v>
      </c>
      <c r="G88" s="139">
        <f>TRUNC(F88*1.2882,2)</f>
        <v>17.85</v>
      </c>
      <c r="H88" s="139">
        <f>TRUNC(F88*E88,2)</f>
        <v>827.3</v>
      </c>
      <c r="I88" s="140">
        <f>TRUNC(E88*G88,2)</f>
        <v>1065.46</v>
      </c>
    </row>
    <row r="89" spans="2:9" s="67" customFormat="1" ht="14.25">
      <c r="B89" s="67" t="s">
        <v>90</v>
      </c>
      <c r="C89" s="67" t="s">
        <v>91</v>
      </c>
      <c r="D89" s="67" t="s">
        <v>12</v>
      </c>
      <c r="E89" s="67">
        <v>0.5</v>
      </c>
      <c r="F89" s="68">
        <f>TRUNC(0.69,2)</f>
        <v>0.69</v>
      </c>
      <c r="G89" s="63">
        <f>TRUNC(E89*F89,2)</f>
        <v>0.34</v>
      </c>
      <c r="H89" s="63"/>
      <c r="I89" s="64"/>
    </row>
    <row r="90" spans="2:9" s="67" customFormat="1" ht="14.25">
      <c r="B90" s="67" t="s">
        <v>92</v>
      </c>
      <c r="C90" s="67" t="s">
        <v>93</v>
      </c>
      <c r="D90" s="67" t="s">
        <v>43</v>
      </c>
      <c r="E90" s="67">
        <v>0.04</v>
      </c>
      <c r="F90" s="68">
        <f>TRUNC(14.51,2)</f>
        <v>14.51</v>
      </c>
      <c r="G90" s="63">
        <f>TRUNC(E90*F90,2)</f>
        <v>0.58</v>
      </c>
      <c r="H90" s="63"/>
      <c r="I90" s="64"/>
    </row>
    <row r="91" spans="2:9" s="67" customFormat="1" ht="28.5">
      <c r="B91" s="67" t="s">
        <v>96</v>
      </c>
      <c r="C91" s="67" t="s">
        <v>97</v>
      </c>
      <c r="D91" s="67" t="s">
        <v>12</v>
      </c>
      <c r="E91" s="67">
        <v>0.012</v>
      </c>
      <c r="F91" s="68">
        <f>TRUNC(341.42,2)</f>
        <v>341.42</v>
      </c>
      <c r="G91" s="63">
        <f>TRUNC(E91*F91,2)</f>
        <v>4.09</v>
      </c>
      <c r="H91" s="63"/>
      <c r="I91" s="64"/>
    </row>
    <row r="92" spans="2:9" s="67" customFormat="1" ht="28.5">
      <c r="B92" s="67" t="s">
        <v>53</v>
      </c>
      <c r="C92" s="67" t="s">
        <v>54</v>
      </c>
      <c r="D92" s="67" t="s">
        <v>6</v>
      </c>
      <c r="E92" s="67">
        <v>0.18025</v>
      </c>
      <c r="F92" s="68">
        <f>TRUNC(13.08,2)</f>
        <v>13.08</v>
      </c>
      <c r="G92" s="63">
        <f>TRUNC(E92*F92,2)</f>
        <v>2.35</v>
      </c>
      <c r="H92" s="63"/>
      <c r="I92" s="64"/>
    </row>
    <row r="93" spans="2:9" s="67" customFormat="1" ht="14.25">
      <c r="B93" s="67" t="s">
        <v>55</v>
      </c>
      <c r="C93" s="67" t="s">
        <v>56</v>
      </c>
      <c r="D93" s="67" t="s">
        <v>6</v>
      </c>
      <c r="E93" s="67">
        <v>0.3605</v>
      </c>
      <c r="F93" s="68">
        <f>TRUNC(18.05,2)</f>
        <v>18.05</v>
      </c>
      <c r="G93" s="63">
        <f>TRUNC(E93*F93,2)</f>
        <v>6.5</v>
      </c>
      <c r="H93" s="63"/>
      <c r="I93" s="64"/>
    </row>
    <row r="94" spans="5:9" s="67" customFormat="1" ht="14.25">
      <c r="E94" s="67" t="s">
        <v>7</v>
      </c>
      <c r="F94" s="68"/>
      <c r="G94" s="63">
        <f>TRUNC(SUM(G89:G93),2)</f>
        <v>13.86</v>
      </c>
      <c r="H94" s="63"/>
      <c r="I94" s="64"/>
    </row>
    <row r="95" spans="1:9" s="44" customFormat="1" ht="15.75">
      <c r="A95" s="53" t="s">
        <v>44</v>
      </c>
      <c r="B95" s="55"/>
      <c r="C95" s="54"/>
      <c r="D95" s="55"/>
      <c r="E95" s="55"/>
      <c r="F95" s="55" t="s">
        <v>47</v>
      </c>
      <c r="G95" s="55"/>
      <c r="H95" s="57">
        <f>H88</f>
        <v>827.3</v>
      </c>
      <c r="I95" s="57">
        <f>I88</f>
        <v>1065.46</v>
      </c>
    </row>
    <row r="96" spans="1:9" s="43" customFormat="1" ht="15.75">
      <c r="A96" s="43" t="s">
        <v>19</v>
      </c>
      <c r="B96" s="51"/>
      <c r="C96" s="52" t="s">
        <v>124</v>
      </c>
      <c r="D96" s="52"/>
      <c r="E96" s="52"/>
      <c r="F96" s="52"/>
      <c r="G96" s="52"/>
      <c r="H96" s="52"/>
      <c r="I96" s="50"/>
    </row>
    <row r="97" spans="1:9" s="137" customFormat="1" ht="42.75">
      <c r="A97" s="137" t="s">
        <v>248</v>
      </c>
      <c r="B97" s="137" t="s">
        <v>327</v>
      </c>
      <c r="C97" s="137" t="s">
        <v>298</v>
      </c>
      <c r="D97" s="137" t="s">
        <v>0</v>
      </c>
      <c r="E97" s="137">
        <v>100.5</v>
      </c>
      <c r="F97" s="138">
        <f>TRUNC(G105,2)</f>
        <v>39.29</v>
      </c>
      <c r="G97" s="139">
        <f>TRUNC(F97*1.2882,2)</f>
        <v>50.61</v>
      </c>
      <c r="H97" s="139">
        <f>TRUNC(F97*E97,2)</f>
        <v>3948.64</v>
      </c>
      <c r="I97" s="140">
        <f>TRUNC(E97*G97,2)</f>
        <v>5086.3</v>
      </c>
    </row>
    <row r="98" spans="2:9" s="67" customFormat="1" ht="14.25">
      <c r="B98" s="67" t="s">
        <v>328</v>
      </c>
      <c r="C98" s="67" t="s">
        <v>269</v>
      </c>
      <c r="D98" s="67" t="s">
        <v>0</v>
      </c>
      <c r="E98" s="67">
        <v>1.275</v>
      </c>
      <c r="F98" s="68">
        <f>TRUNC(22.81,2)</f>
        <v>22.81</v>
      </c>
      <c r="G98" s="63">
        <f>TRUNC(E98*F98,2)</f>
        <v>29.08</v>
      </c>
      <c r="H98" s="63"/>
      <c r="I98" s="64"/>
    </row>
    <row r="99" spans="2:9" s="67" customFormat="1" ht="28.5">
      <c r="B99" s="67" t="s">
        <v>329</v>
      </c>
      <c r="C99" s="67" t="s">
        <v>270</v>
      </c>
      <c r="D99" s="67" t="s">
        <v>12</v>
      </c>
      <c r="E99" s="67">
        <v>1.27</v>
      </c>
      <c r="F99" s="68">
        <f>TRUNC(3.22,2)</f>
        <v>3.22</v>
      </c>
      <c r="G99" s="63">
        <f>TRUNC(E99*F99,2)</f>
        <v>4.08</v>
      </c>
      <c r="H99" s="63"/>
      <c r="I99" s="64"/>
    </row>
    <row r="100" spans="2:9" s="67" customFormat="1" ht="28.5">
      <c r="B100" s="67" t="s">
        <v>330</v>
      </c>
      <c r="C100" s="67" t="s">
        <v>271</v>
      </c>
      <c r="D100" s="67" t="s">
        <v>272</v>
      </c>
      <c r="E100" s="67">
        <v>1.27</v>
      </c>
      <c r="F100" s="68">
        <f>TRUNC(0.21,2)</f>
        <v>0.21</v>
      </c>
      <c r="G100" s="63">
        <f>TRUNC(E100*F100,2)</f>
        <v>0.26</v>
      </c>
      <c r="H100" s="63"/>
      <c r="I100" s="64"/>
    </row>
    <row r="101" spans="2:9" s="67" customFormat="1" ht="14.25">
      <c r="B101" s="67" t="s">
        <v>331</v>
      </c>
      <c r="C101" s="67" t="s">
        <v>273</v>
      </c>
      <c r="D101" s="67" t="s">
        <v>6</v>
      </c>
      <c r="E101" s="67">
        <v>0.115</v>
      </c>
      <c r="F101" s="68">
        <f>TRUNC(22.62,2)</f>
        <v>22.62</v>
      </c>
      <c r="G101" s="63">
        <f>TRUNC(E101*F101,2)</f>
        <v>2.6</v>
      </c>
      <c r="H101" s="63"/>
      <c r="I101" s="64"/>
    </row>
    <row r="102" spans="2:9" s="67" customFormat="1" ht="14.25">
      <c r="B102" s="67" t="s">
        <v>315</v>
      </c>
      <c r="C102" s="67" t="s">
        <v>71</v>
      </c>
      <c r="D102" s="67" t="s">
        <v>6</v>
      </c>
      <c r="E102" s="67">
        <v>0.15</v>
      </c>
      <c r="F102" s="68">
        <f>TRUNC(19.85,2)</f>
        <v>19.85</v>
      </c>
      <c r="G102" s="63">
        <f>TRUNC(E102*F102,2)</f>
        <v>2.97</v>
      </c>
      <c r="H102" s="63"/>
      <c r="I102" s="64"/>
    </row>
    <row r="103" spans="2:9" s="67" customFormat="1" ht="28.5">
      <c r="B103" s="67" t="s">
        <v>332</v>
      </c>
      <c r="C103" s="67" t="s">
        <v>333</v>
      </c>
      <c r="D103" s="67" t="s">
        <v>274</v>
      </c>
      <c r="E103" s="67">
        <v>0.0069</v>
      </c>
      <c r="F103" s="68">
        <f>TRUNC(25.77,2)</f>
        <v>25.77</v>
      </c>
      <c r="G103" s="63">
        <f>TRUNC(E103*F103,2)</f>
        <v>0.17</v>
      </c>
      <c r="H103" s="63"/>
      <c r="I103" s="64"/>
    </row>
    <row r="104" spans="2:9" s="67" customFormat="1" ht="28.5">
      <c r="B104" s="67" t="s">
        <v>334</v>
      </c>
      <c r="C104" s="67" t="s">
        <v>335</v>
      </c>
      <c r="D104" s="67" t="s">
        <v>275</v>
      </c>
      <c r="E104" s="67">
        <v>0.005</v>
      </c>
      <c r="F104" s="68">
        <f>TRUNC(26.46,2)</f>
        <v>26.46</v>
      </c>
      <c r="G104" s="63">
        <f>TRUNC(E104*F104,2)</f>
        <v>0.13</v>
      </c>
      <c r="H104" s="63"/>
      <c r="I104" s="64"/>
    </row>
    <row r="105" spans="5:9" s="67" customFormat="1" ht="14.25">
      <c r="E105" s="67" t="s">
        <v>7</v>
      </c>
      <c r="F105" s="68"/>
      <c r="G105" s="63">
        <f>TRUNC(SUM(G98:G104),2)</f>
        <v>39.29</v>
      </c>
      <c r="H105" s="63"/>
      <c r="I105" s="64"/>
    </row>
    <row r="106" spans="1:9" s="141" customFormat="1" ht="42.75">
      <c r="A106" s="141" t="s">
        <v>249</v>
      </c>
      <c r="B106" s="141" t="s">
        <v>145</v>
      </c>
      <c r="C106" s="141" t="s">
        <v>125</v>
      </c>
      <c r="D106" s="141" t="s">
        <v>0</v>
      </c>
      <c r="E106" s="141">
        <v>100.5</v>
      </c>
      <c r="F106" s="142">
        <f>TRUNC(G112,2)</f>
        <v>26.61</v>
      </c>
      <c r="G106" s="139">
        <f>TRUNC(F106*1.2882,2)</f>
        <v>34.27</v>
      </c>
      <c r="H106" s="139">
        <f>TRUNC(F106*E106,2)</f>
        <v>2674.3</v>
      </c>
      <c r="I106" s="140">
        <f>TRUNC(E106*G106,2)</f>
        <v>3444.13</v>
      </c>
    </row>
    <row r="107" spans="2:9" s="78" customFormat="1" ht="14.25">
      <c r="B107" s="78" t="s">
        <v>126</v>
      </c>
      <c r="C107" s="78" t="s">
        <v>127</v>
      </c>
      <c r="D107" s="78" t="s">
        <v>3</v>
      </c>
      <c r="E107" s="78">
        <v>0.175</v>
      </c>
      <c r="F107" s="79">
        <f>TRUNC(12,2)</f>
        <v>12</v>
      </c>
      <c r="G107" s="63">
        <f>TRUNC(E107*F107,2)</f>
        <v>2.1</v>
      </c>
      <c r="H107" s="80"/>
      <c r="I107" s="81"/>
    </row>
    <row r="108" spans="2:9" s="78" customFormat="1" ht="14.25">
      <c r="B108" s="78" t="s">
        <v>128</v>
      </c>
      <c r="C108" s="78" t="s">
        <v>129</v>
      </c>
      <c r="D108" s="78" t="s">
        <v>3</v>
      </c>
      <c r="E108" s="78">
        <v>0.75</v>
      </c>
      <c r="F108" s="79">
        <f>TRUNC(21.983,2)</f>
        <v>21.98</v>
      </c>
      <c r="G108" s="63">
        <f>TRUNC(E108*F108,2)</f>
        <v>16.48</v>
      </c>
      <c r="H108" s="80"/>
      <c r="I108" s="81"/>
    </row>
    <row r="109" spans="2:9" s="78" customFormat="1" ht="28.5">
      <c r="B109" s="78" t="s">
        <v>4</v>
      </c>
      <c r="C109" s="78" t="s">
        <v>52</v>
      </c>
      <c r="D109" s="78" t="s">
        <v>5</v>
      </c>
      <c r="E109" s="78">
        <v>0.004</v>
      </c>
      <c r="F109" s="79">
        <f>TRUNC(8.55,2)</f>
        <v>8.55</v>
      </c>
      <c r="G109" s="63">
        <f>TRUNC(E109*F109,2)</f>
        <v>0.03</v>
      </c>
      <c r="H109" s="80"/>
      <c r="I109" s="81"/>
    </row>
    <row r="110" spans="2:9" s="78" customFormat="1" ht="28.5">
      <c r="B110" s="78" t="s">
        <v>53</v>
      </c>
      <c r="C110" s="78" t="s">
        <v>54</v>
      </c>
      <c r="D110" s="78" t="s">
        <v>6</v>
      </c>
      <c r="E110" s="78">
        <v>0.2575</v>
      </c>
      <c r="F110" s="79">
        <f>TRUNC(13.08,2)</f>
        <v>13.08</v>
      </c>
      <c r="G110" s="63">
        <f>TRUNC(E110*F110,2)</f>
        <v>3.36</v>
      </c>
      <c r="H110" s="80"/>
      <c r="I110" s="81"/>
    </row>
    <row r="111" spans="2:9" s="78" customFormat="1" ht="28.5">
      <c r="B111" s="78" t="s">
        <v>72</v>
      </c>
      <c r="C111" s="78" t="s">
        <v>61</v>
      </c>
      <c r="D111" s="78" t="s">
        <v>6</v>
      </c>
      <c r="E111" s="78">
        <v>0.2575</v>
      </c>
      <c r="F111" s="79">
        <f>TRUNC(18.05,2)</f>
        <v>18.05</v>
      </c>
      <c r="G111" s="63">
        <f>TRUNC(E111*F111,2)</f>
        <v>4.64</v>
      </c>
      <c r="H111" s="80"/>
      <c r="I111" s="81"/>
    </row>
    <row r="112" spans="5:9" s="78" customFormat="1" ht="14.25">
      <c r="E112" s="78" t="s">
        <v>7</v>
      </c>
      <c r="F112" s="79"/>
      <c r="G112" s="63">
        <f>TRUNC(SUM(G107:G111),2)</f>
        <v>26.61</v>
      </c>
      <c r="H112" s="80"/>
      <c r="I112" s="81"/>
    </row>
    <row r="113" spans="1:9" s="137" customFormat="1" ht="57">
      <c r="A113" s="137" t="s">
        <v>250</v>
      </c>
      <c r="B113" s="137" t="s">
        <v>187</v>
      </c>
      <c r="C113" s="137" t="s">
        <v>188</v>
      </c>
      <c r="D113" s="137" t="s">
        <v>0</v>
      </c>
      <c r="E113" s="137">
        <v>100.5</v>
      </c>
      <c r="F113" s="138">
        <f>TRUNC(G119,2)</f>
        <v>26.71</v>
      </c>
      <c r="G113" s="139">
        <f>TRUNC(F113*1.2882,2)</f>
        <v>34.4</v>
      </c>
      <c r="H113" s="139">
        <f>TRUNC(F113*E113,2)</f>
        <v>2684.35</v>
      </c>
      <c r="I113" s="140">
        <f>TRUNC(E113*G113,2)</f>
        <v>3457.2</v>
      </c>
    </row>
    <row r="114" spans="2:9" s="67" customFormat="1" ht="14.25">
      <c r="B114" s="67" t="s">
        <v>126</v>
      </c>
      <c r="C114" s="67" t="s">
        <v>127</v>
      </c>
      <c r="D114" s="67" t="s">
        <v>3</v>
      </c>
      <c r="E114" s="67">
        <v>1.4</v>
      </c>
      <c r="F114" s="68">
        <f>TRUNC(12,2)</f>
        <v>12</v>
      </c>
      <c r="G114" s="63">
        <f>TRUNC(E114*F114,2)</f>
        <v>16.8</v>
      </c>
      <c r="H114" s="63"/>
      <c r="I114" s="64"/>
    </row>
    <row r="115" spans="2:9" s="67" customFormat="1" ht="28.5">
      <c r="B115" s="67" t="s">
        <v>4</v>
      </c>
      <c r="C115" s="67" t="s">
        <v>52</v>
      </c>
      <c r="D115" s="67" t="s">
        <v>5</v>
      </c>
      <c r="E115" s="67">
        <v>0.01</v>
      </c>
      <c r="F115" s="68">
        <f>TRUNC(8.55,2)</f>
        <v>8.55</v>
      </c>
      <c r="G115" s="63">
        <f>TRUNC(E115*F115,2)</f>
        <v>0.08</v>
      </c>
      <c r="H115" s="63"/>
      <c r="I115" s="64"/>
    </row>
    <row r="116" spans="2:9" s="67" customFormat="1" ht="14.25">
      <c r="B116" s="67" t="s">
        <v>88</v>
      </c>
      <c r="C116" s="67" t="s">
        <v>89</v>
      </c>
      <c r="D116" s="67" t="s">
        <v>5</v>
      </c>
      <c r="E116" s="67">
        <v>0.055</v>
      </c>
      <c r="F116" s="68">
        <f>TRUNC(4.1384,2)</f>
        <v>4.13</v>
      </c>
      <c r="G116" s="63">
        <f>TRUNC(E116*F116,2)</f>
        <v>0.22</v>
      </c>
      <c r="H116" s="63"/>
      <c r="I116" s="64"/>
    </row>
    <row r="117" spans="2:9" s="67" customFormat="1" ht="28.5">
      <c r="B117" s="67" t="s">
        <v>53</v>
      </c>
      <c r="C117" s="67" t="s">
        <v>54</v>
      </c>
      <c r="D117" s="67" t="s">
        <v>6</v>
      </c>
      <c r="E117" s="67">
        <v>0.309</v>
      </c>
      <c r="F117" s="68">
        <f>TRUNC(13.08,2)</f>
        <v>13.08</v>
      </c>
      <c r="G117" s="63">
        <f>TRUNC(E117*F117,2)</f>
        <v>4.04</v>
      </c>
      <c r="H117" s="63"/>
      <c r="I117" s="64"/>
    </row>
    <row r="118" spans="2:9" s="67" customFormat="1" ht="28.5">
      <c r="B118" s="67" t="s">
        <v>72</v>
      </c>
      <c r="C118" s="67" t="s">
        <v>61</v>
      </c>
      <c r="D118" s="67" t="s">
        <v>6</v>
      </c>
      <c r="E118" s="67">
        <v>0.309</v>
      </c>
      <c r="F118" s="68">
        <f>TRUNC(18.05,2)</f>
        <v>18.05</v>
      </c>
      <c r="G118" s="63">
        <f>TRUNC(E118*F118,2)</f>
        <v>5.57</v>
      </c>
      <c r="H118" s="63"/>
      <c r="I118" s="64"/>
    </row>
    <row r="119" spans="5:9" s="67" customFormat="1" ht="14.25">
      <c r="E119" s="67" t="s">
        <v>7</v>
      </c>
      <c r="F119" s="68"/>
      <c r="G119" s="63">
        <f>TRUNC(SUM(G114:G118),2)</f>
        <v>26.71</v>
      </c>
      <c r="H119" s="63"/>
      <c r="I119" s="64"/>
    </row>
    <row r="120" spans="1:9" s="137" customFormat="1" ht="28.5">
      <c r="A120" s="137" t="s">
        <v>251</v>
      </c>
      <c r="B120" s="137" t="s">
        <v>146</v>
      </c>
      <c r="C120" s="137" t="s">
        <v>121</v>
      </c>
      <c r="D120" s="137" t="s">
        <v>3</v>
      </c>
      <c r="E120" s="137">
        <v>29.95</v>
      </c>
      <c r="F120" s="138">
        <f>TRUNC(G125,2)</f>
        <v>46.54</v>
      </c>
      <c r="G120" s="139">
        <f>TRUNC(F120*1.2882,2)</f>
        <v>59.95</v>
      </c>
      <c r="H120" s="139">
        <f>TRUNC(F120*E120,2)</f>
        <v>1393.87</v>
      </c>
      <c r="I120" s="140">
        <f>TRUNC(E120*G120,2)</f>
        <v>1795.5</v>
      </c>
    </row>
    <row r="121" spans="2:9" s="67" customFormat="1" ht="14.25">
      <c r="B121" s="67" t="s">
        <v>122</v>
      </c>
      <c r="C121" s="67" t="s">
        <v>123</v>
      </c>
      <c r="D121" s="67" t="s">
        <v>5</v>
      </c>
      <c r="E121" s="67">
        <v>0.44550000000000006</v>
      </c>
      <c r="F121" s="68">
        <f>TRUNC(19.05,2)</f>
        <v>19.05</v>
      </c>
      <c r="G121" s="63">
        <f>TRUNC(E121*F121,2)</f>
        <v>8.48</v>
      </c>
      <c r="H121" s="63"/>
      <c r="I121" s="64"/>
    </row>
    <row r="122" spans="2:9" s="67" customFormat="1" ht="28.5">
      <c r="B122" s="67" t="s">
        <v>53</v>
      </c>
      <c r="C122" s="67" t="s">
        <v>54</v>
      </c>
      <c r="D122" s="67" t="s">
        <v>6</v>
      </c>
      <c r="E122" s="67">
        <v>1.2051</v>
      </c>
      <c r="F122" s="68">
        <f>TRUNC(13.08,2)</f>
        <v>13.08</v>
      </c>
      <c r="G122" s="63">
        <f>TRUNC(E122*F122,2)</f>
        <v>15.76</v>
      </c>
      <c r="H122" s="63"/>
      <c r="I122" s="64"/>
    </row>
    <row r="123" spans="2:9" s="67" customFormat="1" ht="14.25">
      <c r="B123" s="67" t="s">
        <v>59</v>
      </c>
      <c r="C123" s="67" t="s">
        <v>60</v>
      </c>
      <c r="D123" s="67" t="s">
        <v>6</v>
      </c>
      <c r="E123" s="67">
        <v>0.618</v>
      </c>
      <c r="F123" s="68">
        <f>TRUNC(18.05,2)</f>
        <v>18.05</v>
      </c>
      <c r="G123" s="63">
        <f>TRUNC(E123*F123,2)</f>
        <v>11.15</v>
      </c>
      <c r="H123" s="63"/>
      <c r="I123" s="64"/>
    </row>
    <row r="124" spans="2:9" s="67" customFormat="1" ht="28.5">
      <c r="B124" s="67" t="s">
        <v>106</v>
      </c>
      <c r="C124" s="67" t="s">
        <v>107</v>
      </c>
      <c r="D124" s="67" t="s">
        <v>6</v>
      </c>
      <c r="E124" s="67">
        <v>0.618</v>
      </c>
      <c r="F124" s="68">
        <f>TRUNC(18.05,2)</f>
        <v>18.05</v>
      </c>
      <c r="G124" s="63">
        <f>TRUNC(E124*F124,2)</f>
        <v>11.15</v>
      </c>
      <c r="H124" s="63"/>
      <c r="I124" s="64"/>
    </row>
    <row r="125" spans="5:9" s="67" customFormat="1" ht="14.25">
      <c r="E125" s="67" t="s">
        <v>7</v>
      </c>
      <c r="F125" s="68"/>
      <c r="G125" s="63">
        <f>TRUNC(SUM(G121:G124),2)</f>
        <v>46.54</v>
      </c>
      <c r="H125" s="63"/>
      <c r="I125" s="64"/>
    </row>
    <row r="126" spans="1:9" s="137" customFormat="1" ht="42.75">
      <c r="A126" s="137" t="s">
        <v>252</v>
      </c>
      <c r="B126" s="137" t="s">
        <v>189</v>
      </c>
      <c r="C126" s="137" t="s">
        <v>190</v>
      </c>
      <c r="D126" s="137" t="s">
        <v>3</v>
      </c>
      <c r="E126" s="137">
        <v>9.25</v>
      </c>
      <c r="F126" s="138">
        <f>TRUNC(G131,2)</f>
        <v>50.31</v>
      </c>
      <c r="G126" s="139">
        <f>TRUNC(F126*1.2882,2)</f>
        <v>64.8</v>
      </c>
      <c r="H126" s="139">
        <f>TRUNC(F126*E126,2)</f>
        <v>465.36</v>
      </c>
      <c r="I126" s="140">
        <f>TRUNC(E126*G126,2)</f>
        <v>599.4</v>
      </c>
    </row>
    <row r="127" spans="2:9" s="67" customFormat="1" ht="14.25">
      <c r="B127" s="67" t="s">
        <v>122</v>
      </c>
      <c r="C127" s="67" t="s">
        <v>123</v>
      </c>
      <c r="D127" s="67" t="s">
        <v>5</v>
      </c>
      <c r="E127" s="67">
        <v>0.426825</v>
      </c>
      <c r="F127" s="68">
        <f>TRUNC(19.05,2)</f>
        <v>19.05</v>
      </c>
      <c r="G127" s="63">
        <f>TRUNC(E127*F127,2)</f>
        <v>8.13</v>
      </c>
      <c r="H127" s="63"/>
      <c r="I127" s="64"/>
    </row>
    <row r="128" spans="2:9" s="67" customFormat="1" ht="28.5">
      <c r="B128" s="67" t="s">
        <v>53</v>
      </c>
      <c r="C128" s="67" t="s">
        <v>54</v>
      </c>
      <c r="D128" s="67" t="s">
        <v>6</v>
      </c>
      <c r="E128" s="67">
        <v>1.236</v>
      </c>
      <c r="F128" s="68">
        <f>TRUNC(13.08,2)</f>
        <v>13.08</v>
      </c>
      <c r="G128" s="63">
        <f>TRUNC(E128*F128,2)</f>
        <v>16.16</v>
      </c>
      <c r="H128" s="63"/>
      <c r="I128" s="64"/>
    </row>
    <row r="129" spans="2:9" s="67" customFormat="1" ht="14.25">
      <c r="B129" s="67" t="s">
        <v>59</v>
      </c>
      <c r="C129" s="67" t="s">
        <v>60</v>
      </c>
      <c r="D129" s="67" t="s">
        <v>6</v>
      </c>
      <c r="E129" s="67">
        <v>0.618</v>
      </c>
      <c r="F129" s="68">
        <f>TRUNC(18.05,2)</f>
        <v>18.05</v>
      </c>
      <c r="G129" s="63">
        <f>TRUNC(E129*F129,2)</f>
        <v>11.15</v>
      </c>
      <c r="H129" s="63"/>
      <c r="I129" s="64"/>
    </row>
    <row r="130" spans="2:9" s="67" customFormat="1" ht="28.5">
      <c r="B130" s="67" t="s">
        <v>106</v>
      </c>
      <c r="C130" s="67" t="s">
        <v>107</v>
      </c>
      <c r="D130" s="67" t="s">
        <v>6</v>
      </c>
      <c r="E130" s="67">
        <v>0.8240000000000001</v>
      </c>
      <c r="F130" s="68">
        <f>TRUNC(18.05,2)</f>
        <v>18.05</v>
      </c>
      <c r="G130" s="63">
        <f>TRUNC(E130*F130,2)</f>
        <v>14.87</v>
      </c>
      <c r="H130" s="63"/>
      <c r="I130" s="64"/>
    </row>
    <row r="131" spans="5:9" s="67" customFormat="1" ht="14.25">
      <c r="E131" s="67" t="s">
        <v>7</v>
      </c>
      <c r="F131" s="68"/>
      <c r="G131" s="63">
        <f>TRUNC(SUM(G127:G130),2)</f>
        <v>50.31</v>
      </c>
      <c r="H131" s="63"/>
      <c r="I131" s="64"/>
    </row>
    <row r="132" spans="1:9" s="137" customFormat="1" ht="28.5">
      <c r="A132" s="137" t="s">
        <v>253</v>
      </c>
      <c r="B132" s="137" t="s">
        <v>276</v>
      </c>
      <c r="C132" s="137" t="s">
        <v>277</v>
      </c>
      <c r="D132" s="137" t="s">
        <v>3</v>
      </c>
      <c r="E132" s="137">
        <v>7</v>
      </c>
      <c r="F132" s="138">
        <f>TRUNC(G134,2)</f>
        <v>31.69</v>
      </c>
      <c r="G132" s="139">
        <f>TRUNC(F132*1.2882,2)</f>
        <v>40.82</v>
      </c>
      <c r="H132" s="139">
        <f>TRUNC(F132*E132,2)</f>
        <v>221.83</v>
      </c>
      <c r="I132" s="140">
        <f>TRUNC(E132*G132,2)</f>
        <v>285.74</v>
      </c>
    </row>
    <row r="133" spans="2:9" s="67" customFormat="1" ht="28.5">
      <c r="B133" s="67" t="s">
        <v>278</v>
      </c>
      <c r="C133" s="67" t="s">
        <v>279</v>
      </c>
      <c r="D133" s="67" t="s">
        <v>3</v>
      </c>
      <c r="E133" s="67">
        <v>1</v>
      </c>
      <c r="F133" s="68">
        <f>TRUNC(31.6983,2)</f>
        <v>31.69</v>
      </c>
      <c r="G133" s="63">
        <f>TRUNC(E133*F133,2)</f>
        <v>31.69</v>
      </c>
      <c r="H133" s="63"/>
      <c r="I133" s="64"/>
    </row>
    <row r="134" spans="5:9" s="67" customFormat="1" ht="14.25">
      <c r="E134" s="67" t="s">
        <v>7</v>
      </c>
      <c r="F134" s="68"/>
      <c r="G134" s="63">
        <f>TRUNC(SUM(G133:G133),2)</f>
        <v>31.69</v>
      </c>
      <c r="H134" s="63"/>
      <c r="I134" s="64"/>
    </row>
    <row r="135" spans="1:9" s="67" customFormat="1" ht="15.75">
      <c r="A135" s="67" t="s">
        <v>44</v>
      </c>
      <c r="F135" s="55" t="s">
        <v>48</v>
      </c>
      <c r="G135" s="55"/>
      <c r="H135" s="56">
        <f>H126+H120+H113+H106+H97+H132</f>
        <v>11388.35</v>
      </c>
      <c r="I135" s="56">
        <f>I126+I120+I113+I106+I97+I132</f>
        <v>14668.269999999999</v>
      </c>
    </row>
    <row r="136" spans="1:9" s="43" customFormat="1" ht="15.75">
      <c r="A136" s="43" t="s">
        <v>20</v>
      </c>
      <c r="B136" s="51"/>
      <c r="C136" s="52" t="s">
        <v>264</v>
      </c>
      <c r="D136" s="52"/>
      <c r="E136" s="52"/>
      <c r="F136" s="52"/>
      <c r="G136" s="52"/>
      <c r="H136" s="52"/>
      <c r="I136" s="50"/>
    </row>
    <row r="137" spans="1:9" s="137" customFormat="1" ht="57">
      <c r="A137" s="137" t="s">
        <v>254</v>
      </c>
      <c r="B137" s="137" t="s">
        <v>102</v>
      </c>
      <c r="C137" s="137" t="s">
        <v>103</v>
      </c>
      <c r="D137" s="137" t="s">
        <v>12</v>
      </c>
      <c r="E137" s="137">
        <v>2</v>
      </c>
      <c r="F137" s="138">
        <f>TRUNC(G140,2)</f>
        <v>238.08</v>
      </c>
      <c r="G137" s="139">
        <f>TRUNC(F137*1.2882,2)</f>
        <v>306.69</v>
      </c>
      <c r="H137" s="139">
        <f>TRUNC(F137*E137,2)</f>
        <v>476.16</v>
      </c>
      <c r="I137" s="140">
        <f>TRUNC(E137*G137,2)</f>
        <v>613.38</v>
      </c>
    </row>
    <row r="138" spans="2:9" s="67" customFormat="1" ht="28.5">
      <c r="B138" s="67" t="s">
        <v>53</v>
      </c>
      <c r="C138" s="67" t="s">
        <v>54</v>
      </c>
      <c r="D138" s="67" t="s">
        <v>6</v>
      </c>
      <c r="E138" s="67">
        <v>0.618</v>
      </c>
      <c r="F138" s="68">
        <f>TRUNC(13.08,2)</f>
        <v>13.08</v>
      </c>
      <c r="G138" s="63">
        <f>TRUNC(E138*F138,2)</f>
        <v>8.08</v>
      </c>
      <c r="H138" s="63"/>
      <c r="I138" s="64"/>
    </row>
    <row r="139" spans="2:9" s="67" customFormat="1" ht="28.5">
      <c r="B139" s="67" t="s">
        <v>104</v>
      </c>
      <c r="C139" s="67" t="s">
        <v>105</v>
      </c>
      <c r="D139" s="67" t="s">
        <v>12</v>
      </c>
      <c r="E139" s="67">
        <v>1</v>
      </c>
      <c r="F139" s="68">
        <f>TRUNC(230,2)</f>
        <v>230</v>
      </c>
      <c r="G139" s="63">
        <f>TRUNC(E139*F139,2)</f>
        <v>230</v>
      </c>
      <c r="H139" s="63"/>
      <c r="I139" s="64"/>
    </row>
    <row r="140" spans="5:9" s="67" customFormat="1" ht="14.25">
      <c r="E140" s="67" t="s">
        <v>7</v>
      </c>
      <c r="F140" s="68"/>
      <c r="G140" s="63">
        <f>TRUNC(SUM(G138:G139),2)</f>
        <v>238.08</v>
      </c>
      <c r="H140" s="63"/>
      <c r="I140" s="64"/>
    </row>
    <row r="141" spans="1:9" s="137" customFormat="1" ht="28.5">
      <c r="A141" s="137" t="s">
        <v>255</v>
      </c>
      <c r="B141" s="137" t="s">
        <v>147</v>
      </c>
      <c r="C141" s="137" t="s">
        <v>130</v>
      </c>
      <c r="D141" s="137" t="s">
        <v>1</v>
      </c>
      <c r="E141" s="137">
        <v>7.2</v>
      </c>
      <c r="F141" s="138">
        <f>TRUNC(G143,2)</f>
        <v>18.86</v>
      </c>
      <c r="G141" s="139">
        <f>TRUNC(F141*1.2882,2)</f>
        <v>24.29</v>
      </c>
      <c r="H141" s="139">
        <f>TRUNC(F141*E141,2)</f>
        <v>135.79</v>
      </c>
      <c r="I141" s="140">
        <f>TRUNC(E141*G141,2)</f>
        <v>174.88</v>
      </c>
    </row>
    <row r="142" spans="2:9" s="67" customFormat="1" ht="28.5">
      <c r="B142" s="67" t="s">
        <v>53</v>
      </c>
      <c r="C142" s="67" t="s">
        <v>54</v>
      </c>
      <c r="D142" s="67" t="s">
        <v>6</v>
      </c>
      <c r="E142" s="67">
        <v>1.442</v>
      </c>
      <c r="F142" s="68">
        <f>TRUNC(13.08,2)</f>
        <v>13.08</v>
      </c>
      <c r="G142" s="63">
        <f>TRUNC(E142*F142,2)</f>
        <v>18.86</v>
      </c>
      <c r="H142" s="63"/>
      <c r="I142" s="64"/>
    </row>
    <row r="143" spans="5:9" s="67" customFormat="1" ht="14.25">
      <c r="E143" s="67" t="s">
        <v>7</v>
      </c>
      <c r="F143" s="68"/>
      <c r="G143" s="63">
        <f>TRUNC(SUM(G142:G142),2)</f>
        <v>18.86</v>
      </c>
      <c r="H143" s="63"/>
      <c r="I143" s="64"/>
    </row>
    <row r="144" spans="1:9" s="137" customFormat="1" ht="42.75">
      <c r="A144" s="137" t="s">
        <v>256</v>
      </c>
      <c r="B144" s="137" t="s">
        <v>148</v>
      </c>
      <c r="C144" s="137" t="s">
        <v>149</v>
      </c>
      <c r="D144" s="137" t="s">
        <v>159</v>
      </c>
      <c r="E144" s="137">
        <v>10.65</v>
      </c>
      <c r="F144" s="138">
        <f>TRUNC(8,2)</f>
        <v>8</v>
      </c>
      <c r="G144" s="139">
        <f>TRUNC(F144*1.2882,2)</f>
        <v>10.3</v>
      </c>
      <c r="H144" s="139">
        <f>TRUNC(F144*E144,2)</f>
        <v>85.2</v>
      </c>
      <c r="I144" s="140">
        <f>TRUNC(E144*G144,2)</f>
        <v>109.69</v>
      </c>
    </row>
    <row r="145" spans="2:9" s="67" customFormat="1" ht="28.5">
      <c r="B145" s="67" t="s">
        <v>160</v>
      </c>
      <c r="C145" s="67" t="s">
        <v>161</v>
      </c>
      <c r="D145" s="67" t="s">
        <v>162</v>
      </c>
      <c r="E145" s="67">
        <v>20</v>
      </c>
      <c r="F145" s="68">
        <f>TRUNC(0.4,2)</f>
        <v>0.4</v>
      </c>
      <c r="G145" s="63">
        <f>TRUNC(E145*F145,2)</f>
        <v>8</v>
      </c>
      <c r="H145" s="63"/>
      <c r="I145" s="64"/>
    </row>
    <row r="146" spans="5:9" s="67" customFormat="1" ht="14.25">
      <c r="E146" s="67" t="s">
        <v>7</v>
      </c>
      <c r="F146" s="68"/>
      <c r="G146" s="63">
        <f>TRUNC(SUM(G145:G145),2)</f>
        <v>8</v>
      </c>
      <c r="H146" s="63"/>
      <c r="I146" s="64"/>
    </row>
    <row r="147" spans="1:9" s="137" customFormat="1" ht="42.75">
      <c r="A147" s="137" t="s">
        <v>257</v>
      </c>
      <c r="B147" s="137" t="s">
        <v>150</v>
      </c>
      <c r="C147" s="137" t="s">
        <v>234</v>
      </c>
      <c r="D147" s="137" t="s">
        <v>163</v>
      </c>
      <c r="E147" s="137">
        <v>189</v>
      </c>
      <c r="F147" s="138">
        <f>TRUNC(G149,2)</f>
        <v>0.11</v>
      </c>
      <c r="G147" s="139">
        <f>TRUNC(F147*1.2882,2)</f>
        <v>0.14</v>
      </c>
      <c r="H147" s="139">
        <f>TRUNC(F147*E147,2)</f>
        <v>20.79</v>
      </c>
      <c r="I147" s="140">
        <f>TRUNC(E147*G147,2)</f>
        <v>26.46</v>
      </c>
    </row>
    <row r="148" spans="2:9" s="67" customFormat="1" ht="14.25">
      <c r="B148" s="67" t="s">
        <v>166</v>
      </c>
      <c r="C148" s="67" t="s">
        <v>167</v>
      </c>
      <c r="D148" s="67" t="s">
        <v>6</v>
      </c>
      <c r="E148" s="67">
        <v>0.00121</v>
      </c>
      <c r="F148" s="68">
        <f>TRUNC(97.0783,2)</f>
        <v>97.07</v>
      </c>
      <c r="G148" s="63">
        <f>TRUNC(E148*F148,2)</f>
        <v>0.11</v>
      </c>
      <c r="H148" s="63"/>
      <c r="I148" s="64"/>
    </row>
    <row r="149" spans="5:9" s="67" customFormat="1" ht="14.25">
      <c r="E149" s="67" t="s">
        <v>7</v>
      </c>
      <c r="F149" s="68"/>
      <c r="G149" s="63">
        <f>TRUNC(SUM(G148:G148),2)</f>
        <v>0.11</v>
      </c>
      <c r="H149" s="63"/>
      <c r="I149" s="64"/>
    </row>
    <row r="150" spans="1:9" s="137" customFormat="1" ht="42.75">
      <c r="A150" s="137" t="s">
        <v>258</v>
      </c>
      <c r="B150" s="137" t="s">
        <v>151</v>
      </c>
      <c r="C150" s="137" t="s">
        <v>152</v>
      </c>
      <c r="D150" s="137" t="s">
        <v>0</v>
      </c>
      <c r="E150" s="137">
        <v>31.5</v>
      </c>
      <c r="F150" s="138">
        <f>TRUNC(G153,2)</f>
        <v>0.63</v>
      </c>
      <c r="G150" s="139">
        <f>TRUNC(F150*1.2882,2)</f>
        <v>0.81</v>
      </c>
      <c r="H150" s="139">
        <f>TRUNC(F150*E150,2)</f>
        <v>19.84</v>
      </c>
      <c r="I150" s="140">
        <f>TRUNC(E150*G150,2)</f>
        <v>25.51</v>
      </c>
    </row>
    <row r="151" spans="2:9" s="67" customFormat="1" ht="28.5">
      <c r="B151" s="67" t="s">
        <v>53</v>
      </c>
      <c r="C151" s="67" t="s">
        <v>54</v>
      </c>
      <c r="D151" s="67" t="s">
        <v>6</v>
      </c>
      <c r="E151" s="67">
        <v>0.013389999999999999</v>
      </c>
      <c r="F151" s="68">
        <f>TRUNC(13.08,2)</f>
        <v>13.08</v>
      </c>
      <c r="G151" s="63">
        <f>TRUNC(E151*F151,2)</f>
        <v>0.17</v>
      </c>
      <c r="H151" s="63"/>
      <c r="I151" s="64"/>
    </row>
    <row r="152" spans="2:9" s="67" customFormat="1" ht="14.25">
      <c r="B152" s="67" t="s">
        <v>168</v>
      </c>
      <c r="C152" s="67" t="s">
        <v>169</v>
      </c>
      <c r="D152" s="67" t="s">
        <v>6</v>
      </c>
      <c r="E152" s="67">
        <v>0.013</v>
      </c>
      <c r="F152" s="68">
        <f>TRUNC(35.4662,2)</f>
        <v>35.46</v>
      </c>
      <c r="G152" s="63">
        <f>TRUNC(E152*F152,2)</f>
        <v>0.46</v>
      </c>
      <c r="H152" s="63"/>
      <c r="I152" s="64"/>
    </row>
    <row r="153" spans="5:9" s="67" customFormat="1" ht="14.25">
      <c r="E153" s="67" t="s">
        <v>7</v>
      </c>
      <c r="F153" s="68"/>
      <c r="G153" s="63">
        <f>TRUNC(SUM(G151:G152),2)</f>
        <v>0.63</v>
      </c>
      <c r="H153" s="63"/>
      <c r="I153" s="64"/>
    </row>
    <row r="154" spans="1:9" s="137" customFormat="1" ht="28.5">
      <c r="A154" s="137" t="s">
        <v>259</v>
      </c>
      <c r="B154" s="137" t="s">
        <v>153</v>
      </c>
      <c r="C154" s="137" t="s">
        <v>154</v>
      </c>
      <c r="D154" s="137" t="s">
        <v>0</v>
      </c>
      <c r="E154" s="137">
        <v>31.5</v>
      </c>
      <c r="F154" s="138">
        <f>TRUNC(G156,2)</f>
        <v>5.38</v>
      </c>
      <c r="G154" s="139">
        <f>TRUNC(F154*1.2882,2)</f>
        <v>6.93</v>
      </c>
      <c r="H154" s="139">
        <f>TRUNC(F154*E154,2)</f>
        <v>169.47</v>
      </c>
      <c r="I154" s="140">
        <f>TRUNC(E154*G154,2)</f>
        <v>218.29</v>
      </c>
    </row>
    <row r="155" spans="2:9" s="67" customFormat="1" ht="28.5">
      <c r="B155" s="67" t="s">
        <v>53</v>
      </c>
      <c r="C155" s="67" t="s">
        <v>54</v>
      </c>
      <c r="D155" s="67" t="s">
        <v>6</v>
      </c>
      <c r="E155" s="67">
        <v>0.41200000000000003</v>
      </c>
      <c r="F155" s="68">
        <f>TRUNC(13.08,2)</f>
        <v>13.08</v>
      </c>
      <c r="G155" s="63">
        <f>TRUNC(E155*F155,2)</f>
        <v>5.38</v>
      </c>
      <c r="H155" s="63"/>
      <c r="I155" s="64"/>
    </row>
    <row r="156" spans="5:9" s="67" customFormat="1" ht="14.25">
      <c r="E156" s="67" t="s">
        <v>7</v>
      </c>
      <c r="F156" s="68"/>
      <c r="G156" s="63">
        <f>TRUNC(SUM(G155:G155),2)</f>
        <v>5.38</v>
      </c>
      <c r="H156" s="63"/>
      <c r="I156" s="64"/>
    </row>
    <row r="157" spans="1:9" s="137" customFormat="1" ht="42.75">
      <c r="A157" s="137" t="s">
        <v>260</v>
      </c>
      <c r="B157" s="137" t="s">
        <v>155</v>
      </c>
      <c r="C157" s="137" t="s">
        <v>156</v>
      </c>
      <c r="D157" s="137" t="s">
        <v>0</v>
      </c>
      <c r="E157" s="137">
        <v>31.5</v>
      </c>
      <c r="F157" s="138">
        <f>TRUNC(G159,2)</f>
        <v>2.99</v>
      </c>
      <c r="G157" s="139">
        <f>TRUNC(F157*1.2882,2)</f>
        <v>3.85</v>
      </c>
      <c r="H157" s="139">
        <f>TRUNC(F157*E157,2)</f>
        <v>94.18</v>
      </c>
      <c r="I157" s="140">
        <f>TRUNC(E157*G157,2)</f>
        <v>121.27</v>
      </c>
    </row>
    <row r="158" spans="2:9" s="67" customFormat="1" ht="14.25">
      <c r="B158" s="67" t="s">
        <v>164</v>
      </c>
      <c r="C158" s="67" t="s">
        <v>165</v>
      </c>
      <c r="D158" s="67" t="s">
        <v>3</v>
      </c>
      <c r="E158" s="67">
        <v>0.05</v>
      </c>
      <c r="F158" s="68">
        <f>TRUNC(59.966,2)</f>
        <v>59.96</v>
      </c>
      <c r="G158" s="63">
        <f>TRUNC(E158*F158,2)</f>
        <v>2.99</v>
      </c>
      <c r="H158" s="63"/>
      <c r="I158" s="64"/>
    </row>
    <row r="159" spans="5:9" s="67" customFormat="1" ht="14.25">
      <c r="E159" s="67" t="s">
        <v>7</v>
      </c>
      <c r="F159" s="68"/>
      <c r="G159" s="63">
        <f>TRUNC(SUM(G158:G158),2)</f>
        <v>2.99</v>
      </c>
      <c r="H159" s="63"/>
      <c r="I159" s="64"/>
    </row>
    <row r="160" spans="1:9" s="137" customFormat="1" ht="28.5">
      <c r="A160" s="137" t="s">
        <v>261</v>
      </c>
      <c r="B160" s="137" t="s">
        <v>157</v>
      </c>
      <c r="C160" s="137" t="s">
        <v>158</v>
      </c>
      <c r="D160" s="137" t="s">
        <v>0</v>
      </c>
      <c r="E160" s="137">
        <v>31.5</v>
      </c>
      <c r="F160" s="138">
        <f>TRUNC(G162,2)</f>
        <v>0.44</v>
      </c>
      <c r="G160" s="139">
        <f>TRUNC(F160*1.2882,2)</f>
        <v>0.56</v>
      </c>
      <c r="H160" s="139">
        <f>TRUNC(F160*E160,2)</f>
        <v>13.86</v>
      </c>
      <c r="I160" s="140">
        <f>TRUNC(E160*G160,2)</f>
        <v>17.64</v>
      </c>
    </row>
    <row r="161" spans="2:9" s="67" customFormat="1" ht="28.5">
      <c r="B161" s="67" t="s">
        <v>53</v>
      </c>
      <c r="C161" s="67" t="s">
        <v>54</v>
      </c>
      <c r="D161" s="67" t="s">
        <v>6</v>
      </c>
      <c r="E161" s="67">
        <v>0.03399</v>
      </c>
      <c r="F161" s="68">
        <f>TRUNC(13.08,2)</f>
        <v>13.08</v>
      </c>
      <c r="G161" s="63">
        <f>TRUNC(E161*F161,2)</f>
        <v>0.44</v>
      </c>
      <c r="H161" s="63"/>
      <c r="I161" s="64"/>
    </row>
    <row r="162" spans="5:9" s="67" customFormat="1" ht="14.25">
      <c r="E162" s="67" t="s">
        <v>7</v>
      </c>
      <c r="F162" s="68"/>
      <c r="G162" s="63">
        <f>TRUNC(SUM(G161:G161),2)</f>
        <v>0.44</v>
      </c>
      <c r="H162" s="63"/>
      <c r="I162" s="64"/>
    </row>
    <row r="163" spans="1:9" s="137" customFormat="1" ht="14.25">
      <c r="A163" s="137" t="s">
        <v>262</v>
      </c>
      <c r="B163" s="137" t="s">
        <v>307</v>
      </c>
      <c r="C163" s="137" t="s">
        <v>308</v>
      </c>
      <c r="D163" s="137" t="s">
        <v>0</v>
      </c>
      <c r="E163" s="137">
        <v>14.4</v>
      </c>
      <c r="F163" s="138">
        <f>TRUNC(G165,2)</f>
        <v>0.84</v>
      </c>
      <c r="G163" s="139">
        <f>TRUNC(F163*1.2882,2)</f>
        <v>1.08</v>
      </c>
      <c r="H163" s="139">
        <f>TRUNC(F163*E163,2)</f>
        <v>12.09</v>
      </c>
      <c r="I163" s="140">
        <f>TRUNC(E163*G163,2)</f>
        <v>15.55</v>
      </c>
    </row>
    <row r="164" spans="2:9" s="67" customFormat="1" ht="14.25">
      <c r="B164" s="67" t="s">
        <v>285</v>
      </c>
      <c r="C164" s="67" t="s">
        <v>71</v>
      </c>
      <c r="D164" s="67" t="s">
        <v>6</v>
      </c>
      <c r="E164" s="67">
        <v>0.0385</v>
      </c>
      <c r="F164" s="68">
        <f>TRUNC(21.86,2)</f>
        <v>21.86</v>
      </c>
      <c r="G164" s="63">
        <f>TRUNC(E164*F164,2)</f>
        <v>0.84</v>
      </c>
      <c r="H164" s="63"/>
      <c r="I164" s="64"/>
    </row>
    <row r="165" spans="5:9" s="67" customFormat="1" ht="14.25">
      <c r="E165" s="67" t="s">
        <v>7</v>
      </c>
      <c r="F165" s="68"/>
      <c r="G165" s="63">
        <f>TRUNC(SUM(G164:G164),2)</f>
        <v>0.84</v>
      </c>
      <c r="H165" s="63"/>
      <c r="I165" s="64"/>
    </row>
    <row r="166" spans="1:9" s="44" customFormat="1" ht="15.75">
      <c r="A166" s="53" t="s">
        <v>44</v>
      </c>
      <c r="B166" s="55"/>
      <c r="C166" s="54"/>
      <c r="D166" s="55"/>
      <c r="E166" s="55"/>
      <c r="F166" s="55" t="s">
        <v>48</v>
      </c>
      <c r="G166" s="55"/>
      <c r="H166" s="56">
        <f>H163+H160+H157+H154+H150+H147+H144+H141+H137</f>
        <v>1027.38</v>
      </c>
      <c r="I166" s="56">
        <f>I163+I160+I157+I154+I150+I147+I144+I141+I137</f>
        <v>1322.67</v>
      </c>
    </row>
    <row r="167" spans="1:9" s="44" customFormat="1" ht="15.75">
      <c r="A167" s="53" t="s">
        <v>44</v>
      </c>
      <c r="B167" s="55"/>
      <c r="C167" s="54"/>
      <c r="D167" s="55"/>
      <c r="E167" s="55"/>
      <c r="F167" s="55" t="s">
        <v>49</v>
      </c>
      <c r="G167" s="55"/>
      <c r="H167" s="57">
        <f>H135+H95+H86+H77+H36+H166</f>
        <v>18716.07</v>
      </c>
      <c r="I167" s="57">
        <f>I135+I95+I86+I77+I36+I166</f>
        <v>24105.589999999997</v>
      </c>
    </row>
    <row r="168" spans="1:9" s="44" customFormat="1" ht="15.75">
      <c r="A168" s="53"/>
      <c r="B168" s="55"/>
      <c r="C168" s="54"/>
      <c r="D168" s="55"/>
      <c r="E168" s="55"/>
      <c r="F168" s="55"/>
      <c r="G168" s="55"/>
      <c r="H168" s="56"/>
      <c r="I168" s="57"/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39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70" zoomScaleSheetLayoutView="70" zoomScalePageLayoutView="0" workbookViewId="0" topLeftCell="A1">
      <selection activeCell="C1" sqref="C1"/>
    </sheetView>
  </sheetViews>
  <sheetFormatPr defaultColWidth="9.140625" defaultRowHeight="15"/>
  <cols>
    <col min="2" max="2" width="23.421875" style="0" customWidth="1"/>
    <col min="3" max="3" width="104.00390625" style="1" customWidth="1"/>
    <col min="4" max="4" width="11.140625" style="0" customWidth="1"/>
    <col min="5" max="5" width="10.7109375" style="0" bestFit="1" customWidth="1"/>
    <col min="6" max="6" width="19.00390625" style="0" bestFit="1" customWidth="1"/>
    <col min="7" max="7" width="13.8515625" style="0" bestFit="1" customWidth="1"/>
    <col min="8" max="8" width="16.8515625" style="0" bestFit="1" customWidth="1"/>
    <col min="9" max="9" width="17.140625" style="0" bestFit="1" customWidth="1"/>
    <col min="11" max="11" width="11.00390625" style="0" bestFit="1" customWidth="1"/>
  </cols>
  <sheetData>
    <row r="1" spans="1:7" ht="15.75">
      <c r="A1" s="2"/>
      <c r="B1" s="3"/>
      <c r="C1" s="4" t="s">
        <v>22</v>
      </c>
      <c r="D1" s="5"/>
      <c r="E1" s="6"/>
      <c r="F1" s="7"/>
      <c r="G1" s="8"/>
    </row>
    <row r="2" spans="1:7" ht="15.75">
      <c r="A2" s="9"/>
      <c r="B2" s="10"/>
      <c r="C2" s="11" t="s">
        <v>23</v>
      </c>
      <c r="D2" s="12"/>
      <c r="E2" s="13"/>
      <c r="F2" s="14"/>
      <c r="G2" s="15"/>
    </row>
    <row r="3" spans="1:7" ht="15.75">
      <c r="A3" s="9"/>
      <c r="B3" s="10"/>
      <c r="C3" s="11" t="s">
        <v>24</v>
      </c>
      <c r="D3" s="82" t="s">
        <v>268</v>
      </c>
      <c r="E3" s="83"/>
      <c r="F3" s="83"/>
      <c r="G3" s="84"/>
    </row>
    <row r="4" spans="1:7" ht="15.75" customHeight="1">
      <c r="A4" s="9"/>
      <c r="B4" s="10"/>
      <c r="C4" s="16" t="s">
        <v>267</v>
      </c>
      <c r="D4" s="85" t="s">
        <v>339</v>
      </c>
      <c r="E4" s="86"/>
      <c r="F4" s="86"/>
      <c r="G4" s="87"/>
    </row>
    <row r="5" spans="1:7" ht="15.75">
      <c r="A5" s="9"/>
      <c r="B5" s="10"/>
      <c r="C5" s="45" t="s">
        <v>266</v>
      </c>
      <c r="D5" s="88" t="s">
        <v>74</v>
      </c>
      <c r="E5" s="89"/>
      <c r="F5" s="89"/>
      <c r="G5" s="90"/>
    </row>
    <row r="6" spans="1:7" ht="15.75">
      <c r="A6" s="9"/>
      <c r="B6" s="10"/>
      <c r="C6" s="17" t="s">
        <v>336</v>
      </c>
      <c r="D6" s="91" t="s">
        <v>75</v>
      </c>
      <c r="E6" s="92"/>
      <c r="F6" s="92"/>
      <c r="G6" s="93"/>
    </row>
    <row r="7" spans="1:7" ht="15.75">
      <c r="A7" s="9"/>
      <c r="B7" s="10"/>
      <c r="C7" s="46"/>
      <c r="D7" s="91" t="s">
        <v>265</v>
      </c>
      <c r="E7" s="92"/>
      <c r="F7" s="92"/>
      <c r="G7" s="93"/>
    </row>
    <row r="8" spans="1:7" ht="15.75">
      <c r="A8" s="18"/>
      <c r="B8" s="19"/>
      <c r="C8" s="20"/>
      <c r="D8" s="94" t="s">
        <v>50</v>
      </c>
      <c r="E8" s="95"/>
      <c r="F8" s="95"/>
      <c r="G8" s="96"/>
    </row>
    <row r="9" spans="1:7" ht="15">
      <c r="A9" s="97" t="s">
        <v>338</v>
      </c>
      <c r="B9" s="98"/>
      <c r="C9" s="98"/>
      <c r="D9" s="98"/>
      <c r="E9" s="98"/>
      <c r="F9" s="98"/>
      <c r="G9" s="98"/>
    </row>
    <row r="10" spans="1:9" s="48" customFormat="1" ht="12.75" customHeight="1">
      <c r="A10" s="99" t="s">
        <v>26</v>
      </c>
      <c r="B10" s="100" t="s">
        <v>51</v>
      </c>
      <c r="C10" s="100" t="s">
        <v>27</v>
      </c>
      <c r="D10" s="99" t="s">
        <v>12</v>
      </c>
      <c r="E10" s="101" t="s">
        <v>28</v>
      </c>
      <c r="F10" s="102" t="s">
        <v>29</v>
      </c>
      <c r="G10" s="102"/>
      <c r="H10" s="102"/>
      <c r="I10" s="102"/>
    </row>
    <row r="11" spans="1:9" s="48" customFormat="1" ht="12.75" customHeight="1">
      <c r="A11" s="99"/>
      <c r="B11" s="100"/>
      <c r="C11" s="100"/>
      <c r="D11" s="99"/>
      <c r="E11" s="101"/>
      <c r="F11" s="49" t="s">
        <v>67</v>
      </c>
      <c r="G11" s="49" t="s">
        <v>68</v>
      </c>
      <c r="H11" s="49" t="s">
        <v>69</v>
      </c>
      <c r="I11" s="47" t="s">
        <v>70</v>
      </c>
    </row>
    <row r="12" spans="1:9" s="43" customFormat="1" ht="15.75">
      <c r="A12" s="43" t="s">
        <v>14</v>
      </c>
      <c r="B12" s="51"/>
      <c r="C12" s="52" t="s">
        <v>15</v>
      </c>
      <c r="D12" s="52"/>
      <c r="E12" s="52"/>
      <c r="F12" s="52"/>
      <c r="G12" s="52"/>
      <c r="H12" s="52"/>
      <c r="I12" s="50"/>
    </row>
    <row r="13" spans="1:10" s="65" customFormat="1" ht="42.75">
      <c r="A13" s="143" t="s">
        <v>8</v>
      </c>
      <c r="B13" s="144" t="s">
        <v>63</v>
      </c>
      <c r="C13" s="145" t="s">
        <v>64</v>
      </c>
      <c r="D13" s="146" t="s">
        <v>0</v>
      </c>
      <c r="E13" s="147">
        <v>6</v>
      </c>
      <c r="F13" s="148">
        <f>TRUNC(DESONERADA!F13,2)</f>
        <v>169.7</v>
      </c>
      <c r="G13" s="139">
        <f>TRUNC(F13*1.2882,2)</f>
        <v>218.6</v>
      </c>
      <c r="H13" s="139">
        <f>TRUNC(F13*E13,2)</f>
        <v>1018.2</v>
      </c>
      <c r="I13" s="140">
        <f>TRUNC(E13*G13,2)</f>
        <v>1311.6</v>
      </c>
      <c r="J13" s="66">
        <v>1.2882</v>
      </c>
    </row>
    <row r="14" spans="1:10" s="65" customFormat="1" ht="28.5">
      <c r="A14" s="143" t="s">
        <v>9</v>
      </c>
      <c r="B14" s="144" t="s">
        <v>134</v>
      </c>
      <c r="C14" s="145" t="s">
        <v>110</v>
      </c>
      <c r="D14" s="146" t="s">
        <v>1</v>
      </c>
      <c r="E14" s="147">
        <v>1.73</v>
      </c>
      <c r="F14" s="148">
        <f>TRUNC(DESONERADA!F20,2)</f>
        <v>68.98</v>
      </c>
      <c r="G14" s="139">
        <f>TRUNC(F14*1.2882,2)</f>
        <v>88.86</v>
      </c>
      <c r="H14" s="139">
        <f>TRUNC(F14*E14,2)</f>
        <v>119.33</v>
      </c>
      <c r="I14" s="140">
        <f>TRUNC(E14*G14,2)</f>
        <v>153.72</v>
      </c>
      <c r="J14" s="66"/>
    </row>
    <row r="15" spans="1:10" s="65" customFormat="1" ht="28.5">
      <c r="A15" s="143" t="s">
        <v>10</v>
      </c>
      <c r="B15" s="144" t="s">
        <v>171</v>
      </c>
      <c r="C15" s="145" t="s">
        <v>172</v>
      </c>
      <c r="D15" s="146" t="s">
        <v>12</v>
      </c>
      <c r="E15" s="147">
        <v>3</v>
      </c>
      <c r="F15" s="148">
        <f>TRUNC(DESONERADA!F24,2)</f>
        <v>19.04</v>
      </c>
      <c r="G15" s="139">
        <f>TRUNC(F15*1.2882,2)</f>
        <v>24.52</v>
      </c>
      <c r="H15" s="139">
        <f>TRUNC(F15*E15,2)</f>
        <v>57.12</v>
      </c>
      <c r="I15" s="140">
        <f>TRUNC(E15*G15,2)</f>
        <v>73.56</v>
      </c>
      <c r="J15" s="66"/>
    </row>
    <row r="16" spans="1:10" s="65" customFormat="1" ht="42.75">
      <c r="A16" s="143" t="s">
        <v>11</v>
      </c>
      <c r="B16" s="144" t="s">
        <v>173</v>
      </c>
      <c r="C16" s="145" t="s">
        <v>174</v>
      </c>
      <c r="D16" s="146" t="s">
        <v>0</v>
      </c>
      <c r="E16" s="147">
        <v>94.14</v>
      </c>
      <c r="F16" s="148">
        <f>TRUNC(DESONERADA!F28,2)</f>
        <v>11.69</v>
      </c>
      <c r="G16" s="139">
        <f>TRUNC(F16*1.2882,2)</f>
        <v>15.05</v>
      </c>
      <c r="H16" s="139">
        <f>TRUNC(F16*E16,2)</f>
        <v>1100.49</v>
      </c>
      <c r="I16" s="140">
        <f>TRUNC(E16*G16,2)</f>
        <v>1416.8</v>
      </c>
      <c r="J16" s="66"/>
    </row>
    <row r="17" spans="1:10" s="65" customFormat="1" ht="42.75">
      <c r="A17" s="143" t="s">
        <v>243</v>
      </c>
      <c r="B17" s="144" t="s">
        <v>131</v>
      </c>
      <c r="C17" s="145" t="s">
        <v>109</v>
      </c>
      <c r="D17" s="146" t="s">
        <v>0</v>
      </c>
      <c r="E17" s="147">
        <v>1.8</v>
      </c>
      <c r="F17" s="148">
        <f>TRUNC(DESONERADA!F32,2)</f>
        <v>50.21</v>
      </c>
      <c r="G17" s="139">
        <f>TRUNC(F17*1.2882,2)</f>
        <v>64.68</v>
      </c>
      <c r="H17" s="139">
        <f>TRUNC(F17*E17,2)</f>
        <v>90.37</v>
      </c>
      <c r="I17" s="140">
        <f>TRUNC(E17*G17,2)</f>
        <v>116.42</v>
      </c>
      <c r="J17" s="66"/>
    </row>
    <row r="18" spans="1:9" s="44" customFormat="1" ht="15.75">
      <c r="A18" s="53" t="s">
        <v>44</v>
      </c>
      <c r="C18" s="54"/>
      <c r="D18" s="55"/>
      <c r="E18" s="55"/>
      <c r="F18" s="55"/>
      <c r="G18" s="55" t="s">
        <v>46</v>
      </c>
      <c r="H18" s="57">
        <f>H13+H14+H15+H16+H17</f>
        <v>2385.5099999999998</v>
      </c>
      <c r="I18" s="57">
        <f>I13+I14+I15+I16+I17</f>
        <v>3072.1</v>
      </c>
    </row>
    <row r="19" spans="1:9" s="43" customFormat="1" ht="15.75">
      <c r="A19" s="43" t="s">
        <v>16</v>
      </c>
      <c r="B19" s="51"/>
      <c r="C19" s="52" t="s">
        <v>98</v>
      </c>
      <c r="D19" s="52"/>
      <c r="E19" s="52"/>
      <c r="F19" s="52"/>
      <c r="G19" s="52"/>
      <c r="H19" s="52"/>
      <c r="I19" s="50"/>
    </row>
    <row r="20" spans="1:9" s="137" customFormat="1" ht="57">
      <c r="A20" s="137" t="s">
        <v>244</v>
      </c>
      <c r="B20" s="137" t="s">
        <v>135</v>
      </c>
      <c r="C20" s="137" t="s">
        <v>113</v>
      </c>
      <c r="D20" s="137" t="s">
        <v>0</v>
      </c>
      <c r="E20" s="137">
        <v>9.04</v>
      </c>
      <c r="F20" s="138">
        <f>TRUNC(DESONERADA!F38,2)</f>
        <v>35.97</v>
      </c>
      <c r="G20" s="139">
        <f>TRUNC(F20*1.2882,2)</f>
        <v>46.33</v>
      </c>
      <c r="H20" s="139">
        <f>TRUNC(F20*E20,2)</f>
        <v>325.16</v>
      </c>
      <c r="I20" s="140">
        <f>TRUNC(E20*G20,2)</f>
        <v>418.82</v>
      </c>
    </row>
    <row r="21" spans="1:9" s="137" customFormat="1" ht="57">
      <c r="A21" s="137" t="s">
        <v>99</v>
      </c>
      <c r="B21" s="137" t="s">
        <v>142</v>
      </c>
      <c r="C21" s="137" t="s">
        <v>114</v>
      </c>
      <c r="D21" s="137" t="s">
        <v>0</v>
      </c>
      <c r="E21" s="137">
        <v>1.8</v>
      </c>
      <c r="F21" s="138">
        <f>TRUNC(DESONERADA!F45,2)</f>
        <v>56.21</v>
      </c>
      <c r="G21" s="139">
        <f>TRUNC(F21*1.2882,2)</f>
        <v>72.4</v>
      </c>
      <c r="H21" s="139">
        <f>TRUNC(F21*E21,2)</f>
        <v>101.17</v>
      </c>
      <c r="I21" s="140">
        <f>TRUNC(E21*G21,2)</f>
        <v>130.32</v>
      </c>
    </row>
    <row r="22" spans="1:9" s="137" customFormat="1" ht="42.75">
      <c r="A22" s="137" t="s">
        <v>245</v>
      </c>
      <c r="B22" s="137" t="s">
        <v>84</v>
      </c>
      <c r="C22" s="137" t="s">
        <v>85</v>
      </c>
      <c r="D22" s="137" t="s">
        <v>0</v>
      </c>
      <c r="E22" s="137">
        <v>22.62</v>
      </c>
      <c r="F22" s="138">
        <f>TRUNC(DESONERADA!F53,2)</f>
        <v>23.72</v>
      </c>
      <c r="G22" s="139">
        <f>TRUNC(F22*1.2882,2)</f>
        <v>30.55</v>
      </c>
      <c r="H22" s="139">
        <f>TRUNC(F22*E22,2)</f>
        <v>536.54</v>
      </c>
      <c r="I22" s="140">
        <f>TRUNC(E22*G22,2)</f>
        <v>691.04</v>
      </c>
    </row>
    <row r="23" spans="1:9" s="137" customFormat="1" ht="28.5">
      <c r="A23" s="137" t="s">
        <v>100</v>
      </c>
      <c r="B23" s="137" t="s">
        <v>311</v>
      </c>
      <c r="C23" s="137" t="s">
        <v>175</v>
      </c>
      <c r="D23" s="137" t="s">
        <v>3</v>
      </c>
      <c r="E23" s="137">
        <v>6</v>
      </c>
      <c r="F23" s="138">
        <f>TRUNC(DESONERADA!F59,2)</f>
        <v>53.05</v>
      </c>
      <c r="G23" s="139">
        <f>TRUNC(F23*1.2882,2)</f>
        <v>68.33</v>
      </c>
      <c r="H23" s="139">
        <f>TRUNC(F23*E23,2)</f>
        <v>318.3</v>
      </c>
      <c r="I23" s="140">
        <f>TRUNC(E23*G23,2)</f>
        <v>409.98</v>
      </c>
    </row>
    <row r="24" spans="1:9" s="137" customFormat="1" ht="42.75">
      <c r="A24" s="137" t="s">
        <v>246</v>
      </c>
      <c r="B24" s="137" t="s">
        <v>179</v>
      </c>
      <c r="C24" s="137" t="s">
        <v>180</v>
      </c>
      <c r="D24" s="137" t="s">
        <v>3</v>
      </c>
      <c r="E24" s="137">
        <v>6</v>
      </c>
      <c r="F24" s="138">
        <f>TRUNC(DESONERADA!F69,2)</f>
        <v>77.9</v>
      </c>
      <c r="G24" s="139">
        <f>TRUNC(F24*1.2882,2)</f>
        <v>100.35</v>
      </c>
      <c r="H24" s="139">
        <f>TRUNC(F24*E24,2)</f>
        <v>467.4</v>
      </c>
      <c r="I24" s="140">
        <f>TRUNC(E24*G24,2)</f>
        <v>602.1</v>
      </c>
    </row>
    <row r="25" spans="1:9" s="44" customFormat="1" ht="15.75">
      <c r="A25" s="53" t="s">
        <v>44</v>
      </c>
      <c r="B25" s="55"/>
      <c r="C25" s="54"/>
      <c r="D25" s="55"/>
      <c r="E25" s="55"/>
      <c r="F25" s="55"/>
      <c r="G25" s="55" t="s">
        <v>73</v>
      </c>
      <c r="H25" s="56">
        <f>H20+H21+H22+H23+H24</f>
        <v>1748.5700000000002</v>
      </c>
      <c r="I25" s="56">
        <f>I20+I21+I22+I23+I24</f>
        <v>2252.2599999999998</v>
      </c>
    </row>
    <row r="26" spans="1:9" s="43" customFormat="1" ht="15.75">
      <c r="A26" s="43" t="s">
        <v>17</v>
      </c>
      <c r="B26" s="51"/>
      <c r="C26" s="52" t="s">
        <v>170</v>
      </c>
      <c r="D26" s="52"/>
      <c r="E26" s="52"/>
      <c r="F26" s="52"/>
      <c r="G26" s="52"/>
      <c r="H26" s="52"/>
      <c r="I26" s="50"/>
    </row>
    <row r="27" spans="1:9" s="137" customFormat="1" ht="28.5">
      <c r="A27" s="137" t="s">
        <v>247</v>
      </c>
      <c r="B27" s="137" t="s">
        <v>323</v>
      </c>
      <c r="C27" s="137" t="s">
        <v>183</v>
      </c>
      <c r="D27" s="137" t="s">
        <v>0</v>
      </c>
      <c r="E27" s="137">
        <v>4.8</v>
      </c>
      <c r="F27" s="138">
        <f>TRUNC(DESONERADA!F79,2)</f>
        <v>278.95</v>
      </c>
      <c r="G27" s="139">
        <f>TRUNC(F27*1.2882,2)</f>
        <v>359.34</v>
      </c>
      <c r="H27" s="139">
        <f>TRUNC(F27*E27,2)</f>
        <v>1338.96</v>
      </c>
      <c r="I27" s="140">
        <f>TRUNC(E27*G27,2)</f>
        <v>1724.83</v>
      </c>
    </row>
    <row r="28" spans="1:9" s="44" customFormat="1" ht="15.75">
      <c r="A28" s="53" t="s">
        <v>44</v>
      </c>
      <c r="B28" s="55"/>
      <c r="C28" s="54"/>
      <c r="D28" s="55"/>
      <c r="E28" s="55"/>
      <c r="F28" s="55"/>
      <c r="G28" s="55" t="s">
        <v>45</v>
      </c>
      <c r="H28" s="58">
        <f>H27</f>
        <v>1338.96</v>
      </c>
      <c r="I28" s="58">
        <f>I27</f>
        <v>1724.83</v>
      </c>
    </row>
    <row r="29" spans="1:9" s="43" customFormat="1" ht="15.75">
      <c r="A29" s="43" t="s">
        <v>18</v>
      </c>
      <c r="B29" s="51"/>
      <c r="C29" s="52" t="s">
        <v>263</v>
      </c>
      <c r="D29" s="52"/>
      <c r="E29" s="52"/>
      <c r="F29" s="52"/>
      <c r="G29" s="52"/>
      <c r="H29" s="52"/>
      <c r="I29" s="50"/>
    </row>
    <row r="30" spans="1:9" s="137" customFormat="1" ht="71.25">
      <c r="A30" s="137" t="s">
        <v>13</v>
      </c>
      <c r="B30" s="137" t="s">
        <v>94</v>
      </c>
      <c r="C30" s="137" t="s">
        <v>95</v>
      </c>
      <c r="D30" s="137" t="s">
        <v>0</v>
      </c>
      <c r="E30" s="137">
        <v>59.69</v>
      </c>
      <c r="F30" s="138">
        <f>TRUNC(DESONERADA!F88,2)</f>
        <v>13.86</v>
      </c>
      <c r="G30" s="139">
        <f>TRUNC(F30*1.2882,2)</f>
        <v>17.85</v>
      </c>
      <c r="H30" s="139">
        <f>TRUNC(F30*E30,2)</f>
        <v>827.3</v>
      </c>
      <c r="I30" s="140">
        <f>TRUNC(E30*G30,2)</f>
        <v>1065.46</v>
      </c>
    </row>
    <row r="31" spans="1:9" s="44" customFormat="1" ht="15.75">
      <c r="A31" s="53" t="s">
        <v>44</v>
      </c>
      <c r="B31" s="55"/>
      <c r="C31" s="54"/>
      <c r="D31" s="55"/>
      <c r="E31" s="55"/>
      <c r="F31" s="55" t="s">
        <v>47</v>
      </c>
      <c r="G31" s="55"/>
      <c r="H31" s="57">
        <f>H30</f>
        <v>827.3</v>
      </c>
      <c r="I31" s="57">
        <f>I30</f>
        <v>1065.46</v>
      </c>
    </row>
    <row r="32" spans="1:9" s="43" customFormat="1" ht="15.75">
      <c r="A32" s="43" t="s">
        <v>19</v>
      </c>
      <c r="B32" s="51"/>
      <c r="C32" s="52" t="s">
        <v>124</v>
      </c>
      <c r="D32" s="52"/>
      <c r="E32" s="52"/>
      <c r="F32" s="52"/>
      <c r="G32" s="52"/>
      <c r="H32" s="52"/>
      <c r="I32" s="50"/>
    </row>
    <row r="33" spans="1:9" s="137" customFormat="1" ht="42.75">
      <c r="A33" s="137" t="s">
        <v>248</v>
      </c>
      <c r="B33" s="137" t="s">
        <v>327</v>
      </c>
      <c r="C33" s="137" t="s">
        <v>298</v>
      </c>
      <c r="D33" s="137" t="s">
        <v>0</v>
      </c>
      <c r="E33" s="137">
        <v>100.5</v>
      </c>
      <c r="F33" s="138">
        <f>TRUNC(DESONERADA!F97,2)</f>
        <v>39.29</v>
      </c>
      <c r="G33" s="139">
        <f>TRUNC(F33*1.2882,2)</f>
        <v>50.61</v>
      </c>
      <c r="H33" s="139">
        <f>TRUNC(F33*E33,2)</f>
        <v>3948.64</v>
      </c>
      <c r="I33" s="140">
        <f>TRUNC(E33*G33,2)</f>
        <v>5086.3</v>
      </c>
    </row>
    <row r="34" spans="1:9" s="141" customFormat="1" ht="42.75">
      <c r="A34" s="141" t="s">
        <v>249</v>
      </c>
      <c r="B34" s="141" t="s">
        <v>145</v>
      </c>
      <c r="C34" s="141" t="s">
        <v>125</v>
      </c>
      <c r="D34" s="141" t="s">
        <v>0</v>
      </c>
      <c r="E34" s="141">
        <v>100.5</v>
      </c>
      <c r="F34" s="142">
        <f>TRUNC(DESONERADA!F106,2)</f>
        <v>26.61</v>
      </c>
      <c r="G34" s="139">
        <f>TRUNC(F34*1.2882,2)</f>
        <v>34.27</v>
      </c>
      <c r="H34" s="139">
        <f>TRUNC(F34*E34,2)</f>
        <v>2674.3</v>
      </c>
      <c r="I34" s="140">
        <f>TRUNC(E34*G34,2)</f>
        <v>3444.13</v>
      </c>
    </row>
    <row r="35" spans="1:9" s="137" customFormat="1" ht="57">
      <c r="A35" s="137" t="s">
        <v>250</v>
      </c>
      <c r="B35" s="137" t="s">
        <v>187</v>
      </c>
      <c r="C35" s="137" t="s">
        <v>188</v>
      </c>
      <c r="D35" s="137" t="s">
        <v>0</v>
      </c>
      <c r="E35" s="137">
        <v>100.5</v>
      </c>
      <c r="F35" s="138">
        <f>TRUNC(DESONERADA!F113,2)</f>
        <v>26.71</v>
      </c>
      <c r="G35" s="139">
        <f>TRUNC(F35*1.2882,2)</f>
        <v>34.4</v>
      </c>
      <c r="H35" s="139">
        <f>TRUNC(F35*E35,2)</f>
        <v>2684.35</v>
      </c>
      <c r="I35" s="140">
        <f>TRUNC(E35*G35,2)</f>
        <v>3457.2</v>
      </c>
    </row>
    <row r="36" spans="1:9" s="137" customFormat="1" ht="28.5">
      <c r="A36" s="137" t="s">
        <v>251</v>
      </c>
      <c r="B36" s="137" t="s">
        <v>146</v>
      </c>
      <c r="C36" s="137" t="s">
        <v>121</v>
      </c>
      <c r="D36" s="137" t="s">
        <v>3</v>
      </c>
      <c r="E36" s="137">
        <v>29.95</v>
      </c>
      <c r="F36" s="138">
        <f>TRUNC(DESONERADA!F120,2)</f>
        <v>46.54</v>
      </c>
      <c r="G36" s="139">
        <f>TRUNC(F36*1.2882,2)</f>
        <v>59.95</v>
      </c>
      <c r="H36" s="139">
        <f>TRUNC(F36*E36,2)</f>
        <v>1393.87</v>
      </c>
      <c r="I36" s="140">
        <f>TRUNC(E36*G36,2)</f>
        <v>1795.5</v>
      </c>
    </row>
    <row r="37" spans="1:9" s="137" customFormat="1" ht="42.75">
      <c r="A37" s="137" t="s">
        <v>252</v>
      </c>
      <c r="B37" s="137" t="s">
        <v>189</v>
      </c>
      <c r="C37" s="137" t="s">
        <v>190</v>
      </c>
      <c r="D37" s="137" t="s">
        <v>3</v>
      </c>
      <c r="E37" s="137">
        <v>9.25</v>
      </c>
      <c r="F37" s="138">
        <f>TRUNC(DESONERADA!F126,2)</f>
        <v>50.31</v>
      </c>
      <c r="G37" s="139">
        <f>TRUNC(F37*1.2882,2)</f>
        <v>64.8</v>
      </c>
      <c r="H37" s="139">
        <f>TRUNC(F37*E37,2)</f>
        <v>465.36</v>
      </c>
      <c r="I37" s="140">
        <f>TRUNC(E37*G37,2)</f>
        <v>599.4</v>
      </c>
    </row>
    <row r="38" spans="1:9" s="137" customFormat="1" ht="28.5">
      <c r="A38" s="137" t="s">
        <v>253</v>
      </c>
      <c r="B38" s="137" t="s">
        <v>276</v>
      </c>
      <c r="C38" s="137" t="s">
        <v>277</v>
      </c>
      <c r="D38" s="137" t="s">
        <v>3</v>
      </c>
      <c r="E38" s="137">
        <v>7</v>
      </c>
      <c r="F38" s="138">
        <f>TRUNC(DESONERADA!F132,2)</f>
        <v>31.69</v>
      </c>
      <c r="G38" s="139">
        <f>TRUNC(F38*1.2882,2)</f>
        <v>40.82</v>
      </c>
      <c r="H38" s="139">
        <f>TRUNC(F38*E38,2)</f>
        <v>221.83</v>
      </c>
      <c r="I38" s="140">
        <f>TRUNC(E38*G38,2)</f>
        <v>285.74</v>
      </c>
    </row>
    <row r="39" spans="1:9" s="67" customFormat="1" ht="15.75">
      <c r="A39" s="67" t="s">
        <v>44</v>
      </c>
      <c r="F39" s="55" t="s">
        <v>48</v>
      </c>
      <c r="G39" s="55"/>
      <c r="H39" s="56">
        <f>H37+H36+H35+H34+H33+H38</f>
        <v>11388.35</v>
      </c>
      <c r="I39" s="56">
        <f>I37+I36+I35+I34+I33+I38</f>
        <v>14668.269999999999</v>
      </c>
    </row>
    <row r="40" spans="1:9" s="43" customFormat="1" ht="15.75">
      <c r="A40" s="43" t="s">
        <v>20</v>
      </c>
      <c r="B40" s="51"/>
      <c r="C40" s="52" t="s">
        <v>264</v>
      </c>
      <c r="D40" s="52"/>
      <c r="E40" s="52"/>
      <c r="F40" s="52"/>
      <c r="G40" s="52"/>
      <c r="H40" s="52"/>
      <c r="I40" s="50"/>
    </row>
    <row r="41" spans="1:9" s="137" customFormat="1" ht="57">
      <c r="A41" s="137" t="s">
        <v>254</v>
      </c>
      <c r="B41" s="137" t="s">
        <v>102</v>
      </c>
      <c r="C41" s="137" t="s">
        <v>103</v>
      </c>
      <c r="D41" s="137" t="s">
        <v>12</v>
      </c>
      <c r="E41" s="137">
        <v>2</v>
      </c>
      <c r="F41" s="138">
        <f>TRUNC(DESONERADA!F137,2)</f>
        <v>238.08</v>
      </c>
      <c r="G41" s="139">
        <f>TRUNC(F41*1.2882,2)</f>
        <v>306.69</v>
      </c>
      <c r="H41" s="139">
        <f>TRUNC(F41*E41,2)</f>
        <v>476.16</v>
      </c>
      <c r="I41" s="140">
        <f>TRUNC(E41*G41,2)</f>
        <v>613.38</v>
      </c>
    </row>
    <row r="42" spans="1:9" s="137" customFormat="1" ht="28.5">
      <c r="A42" s="137" t="s">
        <v>255</v>
      </c>
      <c r="B42" s="137" t="s">
        <v>147</v>
      </c>
      <c r="C42" s="137" t="s">
        <v>130</v>
      </c>
      <c r="D42" s="137" t="s">
        <v>1</v>
      </c>
      <c r="E42" s="137">
        <v>7.2</v>
      </c>
      <c r="F42" s="138">
        <f>TRUNC(DESONERADA!F141,2)</f>
        <v>18.86</v>
      </c>
      <c r="G42" s="139">
        <f>TRUNC(F42*1.2882,2)</f>
        <v>24.29</v>
      </c>
      <c r="H42" s="139">
        <f>TRUNC(F42*E42,2)</f>
        <v>135.79</v>
      </c>
      <c r="I42" s="140">
        <f>TRUNC(E42*G42,2)</f>
        <v>174.88</v>
      </c>
    </row>
    <row r="43" spans="1:9" s="137" customFormat="1" ht="42.75">
      <c r="A43" s="137" t="s">
        <v>256</v>
      </c>
      <c r="B43" s="137" t="s">
        <v>148</v>
      </c>
      <c r="C43" s="137" t="s">
        <v>149</v>
      </c>
      <c r="D43" s="137" t="s">
        <v>159</v>
      </c>
      <c r="E43" s="137">
        <v>10.65</v>
      </c>
      <c r="F43" s="138">
        <f>TRUNC(DESONERADA!F144,2)</f>
        <v>8</v>
      </c>
      <c r="G43" s="139">
        <f>TRUNC(F43*1.2882,2)</f>
        <v>10.3</v>
      </c>
      <c r="H43" s="139">
        <f>TRUNC(F43*E43,2)</f>
        <v>85.2</v>
      </c>
      <c r="I43" s="140">
        <f>TRUNC(E43*G43,2)</f>
        <v>109.69</v>
      </c>
    </row>
    <row r="44" spans="1:9" s="137" customFormat="1" ht="42.75">
      <c r="A44" s="137" t="s">
        <v>257</v>
      </c>
      <c r="B44" s="137" t="s">
        <v>150</v>
      </c>
      <c r="C44" s="137" t="s">
        <v>234</v>
      </c>
      <c r="D44" s="137" t="s">
        <v>163</v>
      </c>
      <c r="E44" s="137">
        <v>189</v>
      </c>
      <c r="F44" s="138">
        <f>TRUNC(DESONERADA!F147,2)</f>
        <v>0.11</v>
      </c>
      <c r="G44" s="139">
        <f>TRUNC(F44*1.2882,2)</f>
        <v>0.14</v>
      </c>
      <c r="H44" s="139">
        <f>TRUNC(F44*E44,2)</f>
        <v>20.79</v>
      </c>
      <c r="I44" s="140">
        <f>TRUNC(E44*G44,2)</f>
        <v>26.46</v>
      </c>
    </row>
    <row r="45" spans="1:9" s="137" customFormat="1" ht="42.75">
      <c r="A45" s="137" t="s">
        <v>258</v>
      </c>
      <c r="B45" s="137" t="s">
        <v>151</v>
      </c>
      <c r="C45" s="137" t="s">
        <v>152</v>
      </c>
      <c r="D45" s="137" t="s">
        <v>0</v>
      </c>
      <c r="E45" s="137">
        <v>31.5</v>
      </c>
      <c r="F45" s="138">
        <f>TRUNC(DESONERADA!F150,2)</f>
        <v>0.63</v>
      </c>
      <c r="G45" s="139">
        <f>TRUNC(F45*1.2882,2)</f>
        <v>0.81</v>
      </c>
      <c r="H45" s="139">
        <f>TRUNC(F45*E45,2)</f>
        <v>19.84</v>
      </c>
      <c r="I45" s="140">
        <f>TRUNC(E45*G45,2)</f>
        <v>25.51</v>
      </c>
    </row>
    <row r="46" spans="1:9" s="137" customFormat="1" ht="28.5">
      <c r="A46" s="137" t="s">
        <v>259</v>
      </c>
      <c r="B46" s="137" t="s">
        <v>153</v>
      </c>
      <c r="C46" s="137" t="s">
        <v>154</v>
      </c>
      <c r="D46" s="137" t="s">
        <v>0</v>
      </c>
      <c r="E46" s="137">
        <v>31.5</v>
      </c>
      <c r="F46" s="138">
        <f>TRUNC(DESONERADA!F154,2)</f>
        <v>5.38</v>
      </c>
      <c r="G46" s="139">
        <f>TRUNC(F46*1.2882,2)</f>
        <v>6.93</v>
      </c>
      <c r="H46" s="139">
        <f>TRUNC(F46*E46,2)</f>
        <v>169.47</v>
      </c>
      <c r="I46" s="140">
        <f>TRUNC(E46*G46,2)</f>
        <v>218.29</v>
      </c>
    </row>
    <row r="47" spans="1:9" s="137" customFormat="1" ht="42.75">
      <c r="A47" s="137" t="s">
        <v>260</v>
      </c>
      <c r="B47" s="137" t="s">
        <v>155</v>
      </c>
      <c r="C47" s="137" t="s">
        <v>156</v>
      </c>
      <c r="D47" s="137" t="s">
        <v>0</v>
      </c>
      <c r="E47" s="137">
        <v>31.5</v>
      </c>
      <c r="F47" s="138">
        <f>TRUNC(DESONERADA!F157,2)</f>
        <v>2.99</v>
      </c>
      <c r="G47" s="139">
        <f>TRUNC(F47*1.2882,2)</f>
        <v>3.85</v>
      </c>
      <c r="H47" s="139">
        <f>TRUNC(F47*E47,2)</f>
        <v>94.18</v>
      </c>
      <c r="I47" s="140">
        <f>TRUNC(E47*G47,2)</f>
        <v>121.27</v>
      </c>
    </row>
    <row r="48" spans="1:9" s="137" customFormat="1" ht="28.5">
      <c r="A48" s="137" t="s">
        <v>261</v>
      </c>
      <c r="B48" s="137" t="s">
        <v>157</v>
      </c>
      <c r="C48" s="137" t="s">
        <v>158</v>
      </c>
      <c r="D48" s="137" t="s">
        <v>0</v>
      </c>
      <c r="E48" s="137">
        <v>31.5</v>
      </c>
      <c r="F48" s="138">
        <f>TRUNC(DESONERADA!F160,2)</f>
        <v>0.44</v>
      </c>
      <c r="G48" s="139">
        <f>TRUNC(F48*1.2882,2)</f>
        <v>0.56</v>
      </c>
      <c r="H48" s="139">
        <f>TRUNC(F48*E48,2)</f>
        <v>13.86</v>
      </c>
      <c r="I48" s="140">
        <f>TRUNC(E48*G48,2)</f>
        <v>17.64</v>
      </c>
    </row>
    <row r="49" spans="1:9" s="137" customFormat="1" ht="14.25">
      <c r="A49" s="137" t="s">
        <v>262</v>
      </c>
      <c r="B49" s="137" t="s">
        <v>307</v>
      </c>
      <c r="C49" s="137" t="s">
        <v>308</v>
      </c>
      <c r="D49" s="137" t="s">
        <v>0</v>
      </c>
      <c r="E49" s="137">
        <v>14.4</v>
      </c>
      <c r="F49" s="138">
        <f>TRUNC(DESONERADA!F163,2)</f>
        <v>0.84</v>
      </c>
      <c r="G49" s="139">
        <f>TRUNC(F49*1.2882,2)</f>
        <v>1.08</v>
      </c>
      <c r="H49" s="139">
        <f>TRUNC(F49*E49,2)</f>
        <v>12.09</v>
      </c>
      <c r="I49" s="140">
        <f>TRUNC(E49*G49,2)</f>
        <v>15.55</v>
      </c>
    </row>
    <row r="50" spans="1:9" s="44" customFormat="1" ht="15.75">
      <c r="A50" s="53" t="s">
        <v>44</v>
      </c>
      <c r="B50" s="55"/>
      <c r="C50" s="54"/>
      <c r="D50" s="55"/>
      <c r="E50" s="55"/>
      <c r="F50" s="55" t="s">
        <v>48</v>
      </c>
      <c r="G50" s="55"/>
      <c r="H50" s="56">
        <f>H49+H48+H47+H46+H45+H44+H43+H42+H41</f>
        <v>1027.38</v>
      </c>
      <c r="I50" s="56">
        <f>I49+I48+I47+I46+I45+I44+I43+I42+I41</f>
        <v>1322.67</v>
      </c>
    </row>
    <row r="51" spans="1:9" s="44" customFormat="1" ht="15.75">
      <c r="A51" s="53" t="s">
        <v>44</v>
      </c>
      <c r="B51" s="55"/>
      <c r="C51" s="54"/>
      <c r="D51" s="55"/>
      <c r="E51" s="55"/>
      <c r="F51" s="55" t="s">
        <v>49</v>
      </c>
      <c r="G51" s="55"/>
      <c r="H51" s="57">
        <f>H39+H31+H28+H25+H18+H50</f>
        <v>18716.07</v>
      </c>
      <c r="I51" s="57">
        <f>I39+I31+I28+I25+I18+I50</f>
        <v>24105.589999999997</v>
      </c>
    </row>
  </sheetData>
  <sheetProtection/>
  <mergeCells count="13">
    <mergeCell ref="A9:G9"/>
    <mergeCell ref="A10:A11"/>
    <mergeCell ref="B10:B11"/>
    <mergeCell ref="C10:C11"/>
    <mergeCell ref="D10:D11"/>
    <mergeCell ref="E10:E11"/>
    <mergeCell ref="F10:I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Zeros="0" tabSelected="1" view="pageBreakPreview" zoomScale="40" zoomScaleNormal="70" zoomScaleSheetLayoutView="40" zoomScalePageLayoutView="0" workbookViewId="0" topLeftCell="A1">
      <selection activeCell="I9" sqref="I9"/>
    </sheetView>
  </sheetViews>
  <sheetFormatPr defaultColWidth="8.8515625" defaultRowHeight="15"/>
  <cols>
    <col min="1" max="1" width="12.7109375" style="40" bestFit="1" customWidth="1"/>
    <col min="2" max="2" width="136.421875" style="40" bestFit="1" customWidth="1"/>
    <col min="3" max="3" width="18.00390625" style="40" bestFit="1" customWidth="1"/>
    <col min="4" max="6" width="29.421875" style="40" customWidth="1"/>
    <col min="7" max="7" width="33.140625" style="40" customWidth="1"/>
    <col min="8" max="8" width="21.28125" style="23" bestFit="1" customWidth="1"/>
    <col min="9" max="9" width="19.140625" style="32" bestFit="1" customWidth="1"/>
    <col min="10" max="16384" width="8.8515625" style="23" customWidth="1"/>
  </cols>
  <sheetData>
    <row r="1" spans="1:8" ht="39.75" customHeight="1">
      <c r="A1" s="124" t="s">
        <v>22</v>
      </c>
      <c r="B1" s="125"/>
      <c r="C1" s="125"/>
      <c r="D1" s="125"/>
      <c r="E1" s="125"/>
      <c r="F1" s="125"/>
      <c r="G1" s="21"/>
      <c r="H1" s="22"/>
    </row>
    <row r="2" spans="1:8" ht="39.75" customHeight="1">
      <c r="A2" s="126" t="s">
        <v>23</v>
      </c>
      <c r="B2" s="127"/>
      <c r="C2" s="127"/>
      <c r="D2" s="127"/>
      <c r="E2" s="127"/>
      <c r="F2" s="127"/>
      <c r="G2" s="24"/>
      <c r="H2" s="22"/>
    </row>
    <row r="3" spans="1:8" ht="39.75" customHeight="1">
      <c r="A3" s="126" t="s">
        <v>62</v>
      </c>
      <c r="B3" s="127"/>
      <c r="C3" s="127"/>
      <c r="D3" s="127"/>
      <c r="E3" s="127"/>
      <c r="F3" s="127"/>
      <c r="G3" s="24"/>
      <c r="H3" s="22"/>
    </row>
    <row r="4" spans="1:8" ht="39.75" customHeight="1">
      <c r="A4" s="128" t="s">
        <v>267</v>
      </c>
      <c r="B4" s="129"/>
      <c r="C4" s="129"/>
      <c r="D4" s="129"/>
      <c r="E4" s="129"/>
      <c r="F4" s="129"/>
      <c r="G4" s="24"/>
      <c r="H4" s="22"/>
    </row>
    <row r="5" spans="1:8" ht="39.75" customHeight="1">
      <c r="A5" s="130" t="s">
        <v>266</v>
      </c>
      <c r="B5" s="131"/>
      <c r="C5" s="131"/>
      <c r="D5" s="131"/>
      <c r="E5" s="131"/>
      <c r="F5" s="131"/>
      <c r="G5" s="24"/>
      <c r="H5" s="22"/>
    </row>
    <row r="6" spans="1:8" ht="39.75" customHeight="1">
      <c r="A6" s="135"/>
      <c r="B6" s="136"/>
      <c r="C6" s="136"/>
      <c r="D6" s="136"/>
      <c r="E6" s="136"/>
      <c r="F6" s="136"/>
      <c r="G6" s="24"/>
      <c r="H6" s="22"/>
    </row>
    <row r="7" spans="1:8" ht="39.75" customHeight="1">
      <c r="A7" s="111" t="s">
        <v>340</v>
      </c>
      <c r="B7" s="112"/>
      <c r="C7" s="112"/>
      <c r="D7" s="112"/>
      <c r="E7" s="112"/>
      <c r="F7" s="112"/>
      <c r="G7" s="24"/>
      <c r="H7" s="22"/>
    </row>
    <row r="8" spans="1:8" ht="39.75" customHeight="1">
      <c r="A8" s="113"/>
      <c r="B8" s="114"/>
      <c r="C8" s="114"/>
      <c r="D8" s="114"/>
      <c r="E8" s="114"/>
      <c r="F8" s="114"/>
      <c r="G8" s="25"/>
      <c r="H8" s="22"/>
    </row>
    <row r="9" spans="1:8" ht="39.75" customHeight="1">
      <c r="A9" s="132" t="s">
        <v>30</v>
      </c>
      <c r="B9" s="133"/>
      <c r="C9" s="133"/>
      <c r="D9" s="133"/>
      <c r="E9" s="133"/>
      <c r="F9" s="133"/>
      <c r="G9" s="134"/>
      <c r="H9" s="22"/>
    </row>
    <row r="10" spans="1:10" ht="39.75" customHeight="1">
      <c r="A10" s="105" t="s">
        <v>26</v>
      </c>
      <c r="B10" s="105" t="s">
        <v>31</v>
      </c>
      <c r="C10" s="108" t="s">
        <v>32</v>
      </c>
      <c r="D10" s="109"/>
      <c r="E10" s="109"/>
      <c r="F10" s="109"/>
      <c r="G10" s="26"/>
      <c r="H10" s="22"/>
      <c r="I10" s="41"/>
      <c r="J10" s="27"/>
    </row>
    <row r="11" spans="1:10" ht="39.75" customHeight="1">
      <c r="A11" s="106"/>
      <c r="B11" s="106"/>
      <c r="C11" s="108" t="s">
        <v>33</v>
      </c>
      <c r="D11" s="110"/>
      <c r="E11" s="108" t="s">
        <v>34</v>
      </c>
      <c r="F11" s="110"/>
      <c r="G11" s="26" t="s">
        <v>35</v>
      </c>
      <c r="H11" s="22"/>
      <c r="I11" s="41"/>
      <c r="J11" s="27"/>
    </row>
    <row r="12" spans="1:8" ht="39.75" customHeight="1">
      <c r="A12" s="107"/>
      <c r="B12" s="107"/>
      <c r="C12" s="28" t="s">
        <v>36</v>
      </c>
      <c r="D12" s="29" t="s">
        <v>37</v>
      </c>
      <c r="E12" s="28" t="s">
        <v>36</v>
      </c>
      <c r="F12" s="29" t="s">
        <v>37</v>
      </c>
      <c r="G12" s="26" t="s">
        <v>38</v>
      </c>
      <c r="H12" s="22"/>
    </row>
    <row r="13" spans="1:8" ht="39.75" customHeight="1">
      <c r="A13" s="123"/>
      <c r="B13" s="123"/>
      <c r="C13" s="30"/>
      <c r="D13" s="30"/>
      <c r="E13" s="30"/>
      <c r="F13" s="30"/>
      <c r="G13" s="31"/>
      <c r="H13" s="32"/>
    </row>
    <row r="14" spans="1:9" ht="39.75" customHeight="1">
      <c r="A14" s="33" t="s">
        <v>14</v>
      </c>
      <c r="B14" s="34" t="s">
        <v>15</v>
      </c>
      <c r="C14" s="35">
        <v>1</v>
      </c>
      <c r="D14" s="69">
        <f aca="true" t="shared" si="0" ref="D14:D19">C14*G14</f>
        <v>3072.1</v>
      </c>
      <c r="E14" s="70"/>
      <c r="F14" s="69">
        <f aca="true" t="shared" si="1" ref="F14:F19">E14*G14</f>
        <v>0</v>
      </c>
      <c r="G14" s="75">
        <v>3072.1</v>
      </c>
      <c r="H14" s="36"/>
      <c r="I14" s="42"/>
    </row>
    <row r="15" spans="1:9" ht="26.25" customHeight="1">
      <c r="A15" s="33" t="s">
        <v>16</v>
      </c>
      <c r="B15" s="37" t="s">
        <v>98</v>
      </c>
      <c r="C15" s="35">
        <v>1</v>
      </c>
      <c r="D15" s="69">
        <f t="shared" si="0"/>
        <v>2252.2599999999998</v>
      </c>
      <c r="E15" s="70">
        <v>0</v>
      </c>
      <c r="F15" s="69">
        <f t="shared" si="1"/>
        <v>0</v>
      </c>
      <c r="G15" s="75">
        <v>2252.2599999999998</v>
      </c>
      <c r="H15" s="36"/>
      <c r="I15" s="42"/>
    </row>
    <row r="16" spans="1:9" ht="39.75" customHeight="1">
      <c r="A16" s="33" t="s">
        <v>17</v>
      </c>
      <c r="B16" s="34" t="s">
        <v>170</v>
      </c>
      <c r="C16" s="35">
        <v>1</v>
      </c>
      <c r="D16" s="69">
        <f t="shared" si="0"/>
        <v>1724.83</v>
      </c>
      <c r="E16" s="70">
        <v>0</v>
      </c>
      <c r="F16" s="69">
        <f t="shared" si="1"/>
        <v>0</v>
      </c>
      <c r="G16" s="75">
        <v>1724.83</v>
      </c>
      <c r="H16" s="36"/>
      <c r="I16" s="42"/>
    </row>
    <row r="17" spans="1:9" ht="39.75" customHeight="1">
      <c r="A17" s="33" t="s">
        <v>18</v>
      </c>
      <c r="B17" s="34" t="s">
        <v>21</v>
      </c>
      <c r="C17" s="35">
        <v>0.7</v>
      </c>
      <c r="D17" s="69">
        <f t="shared" si="0"/>
        <v>745.822</v>
      </c>
      <c r="E17" s="35">
        <v>0.3</v>
      </c>
      <c r="F17" s="69">
        <f t="shared" si="1"/>
        <v>319.638</v>
      </c>
      <c r="G17" s="75">
        <v>1065.46</v>
      </c>
      <c r="H17" s="36"/>
      <c r="I17" s="42"/>
    </row>
    <row r="18" spans="1:9" ht="39.75" customHeight="1">
      <c r="A18" s="33" t="s">
        <v>19</v>
      </c>
      <c r="B18" s="34" t="s">
        <v>124</v>
      </c>
      <c r="C18" s="70">
        <v>0</v>
      </c>
      <c r="D18" s="69">
        <f t="shared" si="0"/>
        <v>0</v>
      </c>
      <c r="E18" s="35">
        <v>1</v>
      </c>
      <c r="F18" s="69">
        <f t="shared" si="1"/>
        <v>14668.269999999999</v>
      </c>
      <c r="G18" s="75">
        <v>14668.269999999999</v>
      </c>
      <c r="H18" s="36"/>
      <c r="I18" s="42"/>
    </row>
    <row r="19" spans="1:9" ht="39.75" customHeight="1">
      <c r="A19" s="33" t="s">
        <v>20</v>
      </c>
      <c r="B19" s="34" t="s">
        <v>264</v>
      </c>
      <c r="C19" s="35">
        <v>0.7</v>
      </c>
      <c r="D19" s="69">
        <f t="shared" si="0"/>
        <v>925.869</v>
      </c>
      <c r="E19" s="35">
        <v>0.3</v>
      </c>
      <c r="F19" s="69">
        <f t="shared" si="1"/>
        <v>396.801</v>
      </c>
      <c r="G19" s="75">
        <v>1322.67</v>
      </c>
      <c r="H19" s="36"/>
      <c r="I19" s="42"/>
    </row>
    <row r="20" spans="1:8" ht="39.75" customHeight="1">
      <c r="A20" s="38"/>
      <c r="B20" s="39"/>
      <c r="C20" s="70"/>
      <c r="D20" s="70"/>
      <c r="E20" s="70"/>
      <c r="F20" s="70"/>
      <c r="G20" s="75">
        <f>SUM(G14:G19)</f>
        <v>24105.589999999997</v>
      </c>
      <c r="H20" s="36"/>
    </row>
    <row r="21" spans="1:8" ht="39.75" customHeight="1">
      <c r="A21" s="119" t="s">
        <v>39</v>
      </c>
      <c r="B21" s="120"/>
      <c r="C21" s="103">
        <f>SUM(D14:D19)</f>
        <v>8720.881</v>
      </c>
      <c r="D21" s="104"/>
      <c r="E21" s="103">
        <f>SUM(F14:F19)</f>
        <v>15384.708999999999</v>
      </c>
      <c r="F21" s="104"/>
      <c r="G21" s="71"/>
      <c r="H21" s="32"/>
    </row>
    <row r="22" spans="1:8" ht="39.75" customHeight="1">
      <c r="A22" s="119" t="s">
        <v>40</v>
      </c>
      <c r="B22" s="120"/>
      <c r="C22" s="121">
        <f>C21</f>
        <v>8720.881</v>
      </c>
      <c r="D22" s="122"/>
      <c r="E22" s="121">
        <f>E21+C22</f>
        <v>24105.589999999997</v>
      </c>
      <c r="F22" s="122"/>
      <c r="G22" s="72"/>
      <c r="H22" s="32"/>
    </row>
    <row r="23" spans="1:8" ht="39.75" customHeight="1">
      <c r="A23" s="115" t="s">
        <v>41</v>
      </c>
      <c r="B23" s="116"/>
      <c r="C23" s="117">
        <f>C21/G20</f>
        <v>0.36177836759025606</v>
      </c>
      <c r="D23" s="118"/>
      <c r="E23" s="117">
        <f>E21/G20</f>
        <v>0.638221632409744</v>
      </c>
      <c r="F23" s="118"/>
      <c r="G23" s="73"/>
      <c r="H23" s="32"/>
    </row>
    <row r="24" spans="1:8" ht="39.75" customHeight="1">
      <c r="A24" s="115" t="s">
        <v>42</v>
      </c>
      <c r="B24" s="116"/>
      <c r="C24" s="117">
        <f>C23</f>
        <v>0.36177836759025606</v>
      </c>
      <c r="D24" s="118"/>
      <c r="E24" s="117">
        <f>E23+C24</f>
        <v>1</v>
      </c>
      <c r="F24" s="118"/>
      <c r="G24" s="74"/>
      <c r="H24" s="32"/>
    </row>
  </sheetData>
  <sheetProtection/>
  <mergeCells count="27">
    <mergeCell ref="E22:F22"/>
    <mergeCell ref="E23:F23"/>
    <mergeCell ref="E24:F24"/>
    <mergeCell ref="A1:F1"/>
    <mergeCell ref="A2:F2"/>
    <mergeCell ref="A3:F3"/>
    <mergeCell ref="A4:F4"/>
    <mergeCell ref="A5:F5"/>
    <mergeCell ref="A9:G9"/>
    <mergeCell ref="A6:F6"/>
    <mergeCell ref="A7:F7"/>
    <mergeCell ref="A8:F8"/>
    <mergeCell ref="A24:B24"/>
    <mergeCell ref="C24:D24"/>
    <mergeCell ref="A23:B23"/>
    <mergeCell ref="C23:D23"/>
    <mergeCell ref="A22:B22"/>
    <mergeCell ref="C22:D22"/>
    <mergeCell ref="A13:B13"/>
    <mergeCell ref="A21:B21"/>
    <mergeCell ref="C21:D21"/>
    <mergeCell ref="A10:A12"/>
    <mergeCell ref="B10:B12"/>
    <mergeCell ref="C10:F10"/>
    <mergeCell ref="C11:D11"/>
    <mergeCell ref="E11:F11"/>
    <mergeCell ref="E21:F21"/>
  </mergeCells>
  <printOptions horizontalCentered="1" verticalCentered="1"/>
  <pageMargins left="0.3937007874015748" right="0.3937007874015748" top="0.984251968503937" bottom="0.3937007874015748" header="0" footer="0"/>
  <pageSetup fitToWidth="0" fitToHeight="1" horizontalDpi="300" verticalDpi="300" orientation="landscape" paperSize="9" scale="49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Patrick Araujo Suckow de Barros</cp:lastModifiedBy>
  <cp:lastPrinted>2020-01-24T14:11:31Z</cp:lastPrinted>
  <dcterms:created xsi:type="dcterms:W3CDTF">2017-11-22T13:14:51Z</dcterms:created>
  <dcterms:modified xsi:type="dcterms:W3CDTF">2020-01-24T14:23:42Z</dcterms:modified>
  <cp:category/>
  <cp:version/>
  <cp:contentType/>
  <cp:contentStatus/>
</cp:coreProperties>
</file>